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255" windowHeight="8160" activeTab="0"/>
  </bookViews>
  <sheets>
    <sheet name="INPUT DATA" sheetId="1" r:id="rId1"/>
    <sheet name="OUTPUT" sheetId="2" r:id="rId2"/>
    <sheet name="Pop_Projection" sheetId="3" r:id="rId3"/>
    <sheet name="Demand" sheetId="4" r:id="rId4"/>
    <sheet name="CWRs" sheetId="5" r:id="rId5"/>
    <sheet name="RWPS" sheetId="6" r:id="rId6"/>
    <sheet name="OHSRs" sheetId="7" r:id="rId7"/>
    <sheet name="Estimate" sheetId="8" r:id="rId8"/>
    <sheet name="RM Design 1" sheetId="9" r:id="rId9"/>
    <sheet name="CWPS" sheetId="10" r:id="rId10"/>
  </sheets>
  <externalReferences>
    <externalReference r:id="rId13"/>
  </externalReferences>
  <definedNames>
    <definedName name="Arthematic_Growth" localSheetId="0">'INPUT DATA'!#REF!</definedName>
  </definedNames>
  <calcPr fullCalcOnLoad="1"/>
</workbook>
</file>

<file path=xl/sharedStrings.xml><?xml version="1.0" encoding="utf-8"?>
<sst xmlns="http://schemas.openxmlformats.org/spreadsheetml/2006/main" count="948" uniqueCount="508">
  <si>
    <t>I</t>
  </si>
  <si>
    <t>Population</t>
  </si>
  <si>
    <t>Year</t>
  </si>
  <si>
    <t>Panipat</t>
  </si>
  <si>
    <t>Assumptions</t>
  </si>
  <si>
    <t>Households</t>
  </si>
  <si>
    <t>II</t>
  </si>
  <si>
    <t>Present Water supply</t>
  </si>
  <si>
    <t>Quantity</t>
  </si>
  <si>
    <t>Nos</t>
  </si>
  <si>
    <t>MLD</t>
  </si>
  <si>
    <t xml:space="preserve">NRW </t>
  </si>
  <si>
    <t>%</t>
  </si>
  <si>
    <t>Population Covered</t>
  </si>
  <si>
    <t>Yearly Revenue Received</t>
  </si>
  <si>
    <t>Yearly O &amp; M Expenditure</t>
  </si>
  <si>
    <t>Road Length</t>
  </si>
  <si>
    <t>Distribution laid</t>
  </si>
  <si>
    <t>KM</t>
  </si>
  <si>
    <t>Pumping Hours</t>
  </si>
  <si>
    <t>Lac Rs</t>
  </si>
  <si>
    <t>Hours</t>
  </si>
  <si>
    <t>No of Employees</t>
  </si>
  <si>
    <t>Population Projections</t>
  </si>
  <si>
    <t>Yearly Revenue Assesment</t>
  </si>
  <si>
    <t>Meter</t>
  </si>
  <si>
    <t>ML</t>
  </si>
  <si>
    <t>Tube Wells</t>
  </si>
  <si>
    <t>Market Rates</t>
  </si>
  <si>
    <t>Over Head Service Reservoir: per litre</t>
  </si>
  <si>
    <t xml:space="preserve">Clear Water Reservoir: per litre </t>
  </si>
  <si>
    <t>Input Dat</t>
  </si>
  <si>
    <t>Method/Basis</t>
  </si>
  <si>
    <t xml:space="preserve">Population Projections </t>
  </si>
  <si>
    <t>Available Projected Data</t>
  </si>
  <si>
    <t xml:space="preserve">       Choose from drop down menu only</t>
  </si>
  <si>
    <t>If the above option is "Available Projected Data" enter projected population below</t>
  </si>
  <si>
    <t>If the above option is "Growth Rate based Project" enter below the Decadal Growth Rate to be used for Projection</t>
  </si>
  <si>
    <t>Decade</t>
  </si>
  <si>
    <t>2001-11</t>
  </si>
  <si>
    <t>2011-21</t>
  </si>
  <si>
    <t>2021-31</t>
  </si>
  <si>
    <t>2031-41</t>
  </si>
  <si>
    <t>Growth Rate%</t>
  </si>
  <si>
    <t>Table 1: Population Projection</t>
  </si>
  <si>
    <t>Decadal Growth Rate</t>
  </si>
  <si>
    <t>Annual Growth Rate</t>
  </si>
  <si>
    <t>HH Size</t>
  </si>
  <si>
    <t>Arithmetic Growth Method (AM)</t>
  </si>
  <si>
    <t>Incremental Increase (IM)</t>
  </si>
  <si>
    <t>Geometric Growth Method (GM)</t>
  </si>
  <si>
    <t>Average of AM_IM_GM</t>
  </si>
  <si>
    <t>Growth Rate based Projection</t>
  </si>
  <si>
    <t>Year 07-08</t>
  </si>
  <si>
    <t>No of water connections</t>
  </si>
  <si>
    <t>Rs</t>
  </si>
  <si>
    <t>LPCD</t>
  </si>
  <si>
    <t>Losses</t>
  </si>
  <si>
    <t>Fire Demand</t>
  </si>
  <si>
    <t>Demand</t>
  </si>
  <si>
    <t>Total</t>
  </si>
  <si>
    <t>Present</t>
  </si>
  <si>
    <t>Deficit</t>
  </si>
  <si>
    <t>year</t>
  </si>
  <si>
    <t>OHSRs Capacity</t>
  </si>
  <si>
    <t>Present Capacuty</t>
  </si>
  <si>
    <t xml:space="preserve">New OHSRs </t>
  </si>
  <si>
    <t xml:space="preserve">Required capacity of CWRs, </t>
  </si>
  <si>
    <t>Detention time</t>
  </si>
  <si>
    <t>No of Distribution Zones</t>
  </si>
  <si>
    <t>Avg. OHSR capacity</t>
  </si>
  <si>
    <t>Capacity Reqd</t>
  </si>
  <si>
    <t>Available Capacity</t>
  </si>
  <si>
    <t>Proposed Capacity</t>
  </si>
  <si>
    <t>Distribution Reservoirs: present Capacity</t>
  </si>
  <si>
    <t>Clear Water Reservoirs: Present Capacity</t>
  </si>
  <si>
    <t>Distribution Reservoirs: at present: nos</t>
  </si>
  <si>
    <t>Clear Water Reservoirs: At present: nos</t>
  </si>
  <si>
    <t>Proposed staging of OHSRs</t>
  </si>
  <si>
    <t>proposed water Colomn in OHSRs</t>
  </si>
  <si>
    <t>Friction losses in specials, appurtenances</t>
  </si>
  <si>
    <t>No of working pumps</t>
  </si>
  <si>
    <t>Stand bye pumps</t>
  </si>
  <si>
    <t>Total Pumping Head</t>
  </si>
  <si>
    <t>LPS</t>
  </si>
  <si>
    <t>Water Meter supply, installation &amp; Maintenance 5 years</t>
  </si>
  <si>
    <t xml:space="preserve">CWPS with civil, mechanical &amp; electrical complete, per KW </t>
  </si>
  <si>
    <t xml:space="preserve">  </t>
  </si>
  <si>
    <t xml:space="preserve"> </t>
  </si>
  <si>
    <t xml:space="preserve">            </t>
  </si>
  <si>
    <t>PUMPING  TRANSMISSION  MAIN</t>
  </si>
  <si>
    <t>ECONOMACAL SIZE OF RAW WATER RISING MAIN MAIN</t>
  </si>
  <si>
    <t>I N P U T</t>
  </si>
  <si>
    <t>D A T A</t>
  </si>
  <si>
    <t xml:space="preserve"> From  :</t>
  </si>
  <si>
    <t xml:space="preserve">    =====</t>
  </si>
  <si>
    <t>=</t>
  </si>
  <si>
    <t>To   :</t>
  </si>
  <si>
    <t xml:space="preserve"> 1) Water requirement :</t>
  </si>
  <si>
    <t>Peak Discharge</t>
  </si>
  <si>
    <t xml:space="preserve">   P  I  P  E    D  A  T  A</t>
  </si>
  <si>
    <t>A.</t>
  </si>
  <si>
    <t>Initial</t>
  </si>
  <si>
    <t>mld</t>
  </si>
  <si>
    <t>---------</t>
  </si>
  <si>
    <t>--------</t>
  </si>
  <si>
    <t>B.</t>
  </si>
  <si>
    <t>Intermediate</t>
  </si>
  <si>
    <t xml:space="preserve"> DIAMETER</t>
  </si>
  <si>
    <t xml:space="preserve">    CLASS</t>
  </si>
  <si>
    <t>C.</t>
  </si>
  <si>
    <t>Ultimate</t>
  </si>
  <si>
    <t xml:space="preserve"> 2) Pumping main</t>
  </si>
  <si>
    <t xml:space="preserve"> LENGTH</t>
  </si>
  <si>
    <t>M</t>
  </si>
  <si>
    <t>DI</t>
  </si>
  <si>
    <t>K7</t>
  </si>
  <si>
    <t xml:space="preserve"> 3) Static head for pump</t>
  </si>
  <si>
    <t xml:space="preserve"> ST.HEAD</t>
  </si>
  <si>
    <t xml:space="preserve"> 4) Design period</t>
  </si>
  <si>
    <t xml:space="preserve"> YEAR</t>
  </si>
  <si>
    <t>yr.</t>
  </si>
  <si>
    <t xml:space="preserve"> 5) Combined eff. of pump set</t>
  </si>
  <si>
    <t xml:space="preserve"> EFF. %</t>
  </si>
  <si>
    <t xml:space="preserve"> 6) Cost of pumping unit</t>
  </si>
  <si>
    <t xml:space="preserve"> Rs./KW</t>
  </si>
  <si>
    <t xml:space="preserve"> 7) Interest rate </t>
  </si>
  <si>
    <t xml:space="preserve"> INTEREST</t>
  </si>
  <si>
    <t>8) Life of electric motor &amp; pump set</t>
  </si>
  <si>
    <t>P.Yrs</t>
  </si>
  <si>
    <t>9) Energy charges per kWh</t>
  </si>
  <si>
    <t xml:space="preserve"> P/KWH</t>
  </si>
  <si>
    <t>10) Pumping hours for discharge</t>
  </si>
  <si>
    <t xml:space="preserve"> PUMPING-</t>
  </si>
  <si>
    <t>hrs</t>
  </si>
  <si>
    <t xml:space="preserve">   HOURS</t>
  </si>
  <si>
    <t>PRESS &lt;ALT&gt;M for  MENU</t>
  </si>
  <si>
    <t xml:space="preserve">       CALCULATIONS:</t>
  </si>
  <si>
    <t xml:space="preserve">  1st 15 years</t>
  </si>
  <si>
    <t xml:space="preserve">  2nd 15 years</t>
  </si>
  <si>
    <t xml:space="preserve"> 1) Discharge at Start OF PERIOD </t>
  </si>
  <si>
    <t xml:space="preserve"> 2) Discharge at the end of 15 yrs</t>
  </si>
  <si>
    <t xml:space="preserve"> 3) Average   Discharge</t>
  </si>
  <si>
    <t xml:space="preserve"> 4) Ave.pumping hours during the period </t>
  </si>
  <si>
    <t xml:space="preserve"> 5) KW required at  combined</t>
  </si>
  <si>
    <t>* H1</t>
  </si>
  <si>
    <t>* H2</t>
  </si>
  <si>
    <t xml:space="preserve">    efficiency of pumping set</t>
  </si>
  <si>
    <t xml:space="preserve"> 6) Ave.annual charges for electrical </t>
  </si>
  <si>
    <t xml:space="preserve">         energy  Rs.</t>
  </si>
  <si>
    <t>Modified Hazen William's Formula</t>
  </si>
  <si>
    <t>V=</t>
  </si>
  <si>
    <t>h=</t>
  </si>
  <si>
    <t>Friction Head Loss (First 15 years)</t>
  </si>
  <si>
    <t>Dia. in mm</t>
  </si>
  <si>
    <t>L</t>
  </si>
  <si>
    <t>Q</t>
  </si>
  <si>
    <t>CR</t>
  </si>
  <si>
    <t>Q/CR</t>
  </si>
  <si>
    <t>D</t>
  </si>
  <si>
    <t>h( First 15 yrs)</t>
  </si>
  <si>
    <t>Velocity</t>
  </si>
  <si>
    <t>r0.6575</t>
  </si>
  <si>
    <t>S</t>
  </si>
  <si>
    <t>V</t>
  </si>
  <si>
    <t>Friction Head Loss (Second 15 years)</t>
  </si>
  <si>
    <t>h( Second 15 yrs)</t>
  </si>
  <si>
    <t>TABLE 1 -      VELOCITY    AND     HEADLOSSES        FOR     DIFFERENT   PIPE SIZES</t>
  </si>
  <si>
    <t>-</t>
  </si>
  <si>
    <t>Total head(m) for</t>
  </si>
  <si>
    <t>m length</t>
  </si>
  <si>
    <t>Sl.</t>
  </si>
  <si>
    <t xml:space="preserve">    Pipe</t>
  </si>
  <si>
    <t xml:space="preserve">   Frictional Head</t>
  </si>
  <si>
    <t xml:space="preserve">     Velocity in</t>
  </si>
  <si>
    <t>including</t>
  </si>
  <si>
    <t>m static head</t>
  </si>
  <si>
    <t>No.</t>
  </si>
  <si>
    <t xml:space="preserve">    Size</t>
  </si>
  <si>
    <t xml:space="preserve">      loss per</t>
  </si>
  <si>
    <t xml:space="preserve">         m/s</t>
  </si>
  <si>
    <t xml:space="preserve">   ------</t>
  </si>
  <si>
    <t xml:space="preserve">    in</t>
  </si>
  <si>
    <t xml:space="preserve">       1000 m</t>
  </si>
  <si>
    <t xml:space="preserve">    1st   stage  flow</t>
  </si>
  <si>
    <t xml:space="preserve">    2nd   stage  flow</t>
  </si>
  <si>
    <t xml:space="preserve">   mm</t>
  </si>
  <si>
    <t xml:space="preserve">   ----------------</t>
  </si>
  <si>
    <t xml:space="preserve">    --------------</t>
  </si>
  <si>
    <t xml:space="preserve">  -------</t>
  </si>
  <si>
    <t xml:space="preserve">     1st </t>
  </si>
  <si>
    <t xml:space="preserve">     2nd </t>
  </si>
  <si>
    <t xml:space="preserve">  Frict-</t>
  </si>
  <si>
    <t xml:space="preserve">  Total</t>
  </si>
  <si>
    <t xml:space="preserve">    stage</t>
  </si>
  <si>
    <t xml:space="preserve">    stage </t>
  </si>
  <si>
    <t xml:space="preserve">  ional</t>
  </si>
  <si>
    <t xml:space="preserve">  Other*</t>
  </si>
  <si>
    <t xml:space="preserve">  losses</t>
  </si>
  <si>
    <t xml:space="preserve">     flow</t>
  </si>
  <si>
    <t xml:space="preserve">   loss</t>
  </si>
  <si>
    <t xml:space="preserve">    H1</t>
  </si>
  <si>
    <t xml:space="preserve">    H2</t>
  </si>
  <si>
    <t>&gt;&gt;&gt; * Other losses = 10% of frictional loss</t>
  </si>
  <si>
    <t>TABLE 2 - KILOWATTS &amp; COST OF PUMP SETS REQUIRED FOR DIFFERENT PIPE SIZES AND PIPE COST</t>
  </si>
  <si>
    <t xml:space="preserve">       1st stage flow of</t>
  </si>
  <si>
    <t xml:space="preserve">       2nd stage flow of</t>
  </si>
  <si>
    <t xml:space="preserve">    Cost</t>
  </si>
  <si>
    <t>million liters/day</t>
  </si>
  <si>
    <t xml:space="preserve">     of</t>
  </si>
  <si>
    <t xml:space="preserve"> --------</t>
  </si>
  <si>
    <t xml:space="preserve">    pipe</t>
  </si>
  <si>
    <t>PIPE</t>
  </si>
  <si>
    <t xml:space="preserve">  Class</t>
  </si>
  <si>
    <t xml:space="preserve">    Kw</t>
  </si>
  <si>
    <t xml:space="preserve">   Pump</t>
  </si>
  <si>
    <t xml:space="preserve">    per</t>
  </si>
  <si>
    <t xml:space="preserve">    meter</t>
  </si>
  <si>
    <t xml:space="preserve">   of</t>
  </si>
  <si>
    <t xml:space="preserve">  req'd</t>
  </si>
  <si>
    <t>Cost @ Rs</t>
  </si>
  <si>
    <t xml:space="preserve">    unit</t>
  </si>
  <si>
    <t xml:space="preserve">     in</t>
  </si>
  <si>
    <t xml:space="preserve">   head</t>
  </si>
  <si>
    <t xml:space="preserve">  plus 50%</t>
  </si>
  <si>
    <t xml:space="preserve">  plus %</t>
  </si>
  <si>
    <t xml:space="preserve">   length</t>
  </si>
  <si>
    <t xml:space="preserve">    line</t>
  </si>
  <si>
    <t xml:space="preserve">     mm</t>
  </si>
  <si>
    <t xml:space="preserve">  per kw</t>
  </si>
  <si>
    <t xml:space="preserve">    THS</t>
  </si>
  <si>
    <t xml:space="preserve">  meters</t>
  </si>
  <si>
    <t xml:space="preserve"> standby</t>
  </si>
  <si>
    <t xml:space="preserve">  Rs THS</t>
  </si>
  <si>
    <t xml:space="preserve">   ( Rs )</t>
  </si>
  <si>
    <t>TABLE 3 - COMPARATIVE STATEMENT OF OVERALL COST  OF PUMPING MAIN FOR DIFFERENT PIPE SIZES</t>
  </si>
  <si>
    <t xml:space="preserve">    1st stage flow</t>
  </si>
  <si>
    <t xml:space="preserve">    2nd stage flow</t>
  </si>
  <si>
    <t xml:space="preserve">  GRAND</t>
  </si>
  <si>
    <t xml:space="preserve">  TOTAL</t>
  </si>
  <si>
    <t xml:space="preserve">    of</t>
  </si>
  <si>
    <t xml:space="preserve">   Cost</t>
  </si>
  <si>
    <t xml:space="preserve"> Annual</t>
  </si>
  <si>
    <t xml:space="preserve"> Capital-</t>
  </si>
  <si>
    <t xml:space="preserve">Initial </t>
  </si>
  <si>
    <t>Energy</t>
  </si>
  <si>
    <t xml:space="preserve">   ised</t>
  </si>
  <si>
    <t xml:space="preserve">Capital </t>
  </si>
  <si>
    <t>SIZE</t>
  </si>
  <si>
    <t xml:space="preserve">   pump</t>
  </si>
  <si>
    <t xml:space="preserve">  Charges</t>
  </si>
  <si>
    <t xml:space="preserve">  Energy</t>
  </si>
  <si>
    <t>Investment</t>
  </si>
  <si>
    <t xml:space="preserve">   in</t>
  </si>
  <si>
    <t xml:space="preserve">   cost</t>
  </si>
  <si>
    <t xml:space="preserve">   sets</t>
  </si>
  <si>
    <t xml:space="preserve"> Charges</t>
  </si>
  <si>
    <t>for pumpsets</t>
  </si>
  <si>
    <t xml:space="preserve">     (mm)</t>
  </si>
  <si>
    <t>for</t>
  </si>
  <si>
    <t>&amp; annual ele</t>
  </si>
  <si>
    <t xml:space="preserve"> ct. Charges</t>
  </si>
  <si>
    <t>30 yrs</t>
  </si>
  <si>
    <t xml:space="preserve">   THS</t>
  </si>
  <si>
    <t xml:space="preserve"> THS</t>
  </si>
  <si>
    <t>Energy Charges per Kilo Watt</t>
  </si>
  <si>
    <t>Intrest Rate</t>
  </si>
  <si>
    <t>DI K7 Dia in mm</t>
  </si>
  <si>
    <t>Rs/meter</t>
  </si>
  <si>
    <t xml:space="preserve">  MATERIAL</t>
  </si>
  <si>
    <t xml:space="preserve">    RATE Rs/m</t>
  </si>
  <si>
    <t>*H1</t>
  </si>
  <si>
    <t>(Q/CR)^1.81</t>
  </si>
  <si>
    <t>D^4.81</t>
  </si>
  <si>
    <t>S^0.5525</t>
  </si>
  <si>
    <t>r=A/P=D/4</t>
  </si>
  <si>
    <t>Cr</t>
  </si>
  <si>
    <t>r^0.6575</t>
  </si>
  <si>
    <t>Economical Dia</t>
  </si>
  <si>
    <t>Minimum capitalised cost</t>
  </si>
  <si>
    <t>11Energy Charges capitalised:Cc</t>
  </si>
  <si>
    <t>cr((1-(1+r)^(-n))/n)</t>
  </si>
  <si>
    <t>n</t>
  </si>
  <si>
    <t>years</t>
  </si>
  <si>
    <t>Rate of intrest</t>
  </si>
  <si>
    <t>cc</t>
  </si>
  <si>
    <t>*Cr</t>
  </si>
  <si>
    <t>C</t>
  </si>
  <si>
    <t>*Po</t>
  </si>
  <si>
    <t>m</t>
  </si>
  <si>
    <t>S No</t>
  </si>
  <si>
    <t>Item</t>
  </si>
  <si>
    <t xml:space="preserve">Rate </t>
  </si>
  <si>
    <t>Unit</t>
  </si>
  <si>
    <t>Amount</t>
  </si>
  <si>
    <t>KW</t>
  </si>
  <si>
    <t>meter</t>
  </si>
  <si>
    <t>Round up</t>
  </si>
  <si>
    <t>No</t>
  </si>
  <si>
    <t>Construction of CWRs</t>
  </si>
  <si>
    <t>Litre</t>
  </si>
  <si>
    <t>Construction of OHSRs</t>
  </si>
  <si>
    <t>Clear Water Pumping Station</t>
  </si>
  <si>
    <t>Distribution system</t>
  </si>
  <si>
    <t>Domestic Meters</t>
  </si>
  <si>
    <t>Reduction of NRW &amp; Replace Service Line</t>
  </si>
  <si>
    <t>NRW reduction and Replace Service Lines: per connection</t>
  </si>
  <si>
    <t>Distribution extension n  improvement, per capita of 2021 pop</t>
  </si>
  <si>
    <t xml:space="preserve">Physical Contingency  </t>
  </si>
  <si>
    <t>Sub Total</t>
  </si>
  <si>
    <t>Grand Total</t>
  </si>
  <si>
    <t>Dia</t>
  </si>
  <si>
    <t>III</t>
  </si>
  <si>
    <t>Design Period</t>
  </si>
  <si>
    <t>Base Year</t>
  </si>
  <si>
    <t>No. of Years: Choose from drop down</t>
  </si>
  <si>
    <t>iii</t>
  </si>
  <si>
    <t>Additional Information for Surface Source</t>
  </si>
  <si>
    <t>Years</t>
  </si>
  <si>
    <t>Intake</t>
  </si>
  <si>
    <t>WTP</t>
  </si>
  <si>
    <t xml:space="preserve">   at the end of 30 years</t>
  </si>
  <si>
    <t xml:space="preserve">  Head</t>
  </si>
  <si>
    <t>Minimum water level in Intake</t>
  </si>
  <si>
    <t>Outlet level</t>
  </si>
  <si>
    <t>Static head</t>
  </si>
  <si>
    <t>rough ness coefficient for modified Hazen William</t>
  </si>
  <si>
    <t>frictional Losses in pipe line, economical dia,15year DP</t>
  </si>
  <si>
    <t>mm</t>
  </si>
  <si>
    <t>thousand Rs</t>
  </si>
  <si>
    <t>Friction Losses in pipe line</t>
  </si>
  <si>
    <t>Losses in specials,entry,exit,piping</t>
  </si>
  <si>
    <t>Quantity of water to be pumped</t>
  </si>
  <si>
    <t>12 Present value of investment reqd after 15 years=C/((1+r)^n)</t>
  </si>
  <si>
    <t>Rounding upwards</t>
  </si>
  <si>
    <t>Discharge per pump, with respect to pumping hours</t>
  </si>
  <si>
    <t>Pump Efficiency</t>
  </si>
  <si>
    <t>As above</t>
  </si>
  <si>
    <t>Motor Rating</t>
  </si>
  <si>
    <t>Motor Rating coefficient</t>
  </si>
  <si>
    <t>Construction of Intake arrangements</t>
  </si>
  <si>
    <t xml:space="preserve">Construction of Raw Water Pump House </t>
  </si>
  <si>
    <t>Total Kilowatt</t>
  </si>
  <si>
    <t>Total No of Pumps</t>
  </si>
  <si>
    <t>KiloWatt</t>
  </si>
  <si>
    <t>Construction of Water Treatment Plant</t>
  </si>
  <si>
    <t>Proposed reduction in existing source,per 5 years</t>
  </si>
  <si>
    <t>Considering 5% treatment losses, requirement for 15 yr DP</t>
  </si>
  <si>
    <t>Water Treatment Plant, Rate per MLD</t>
  </si>
  <si>
    <t>Staging Height of Service Reservoir</t>
  </si>
  <si>
    <t>Water Colomn in Service Reservoir</t>
  </si>
  <si>
    <t>No of Distribution zones</t>
  </si>
  <si>
    <t>Length of Rising Main</t>
  </si>
  <si>
    <t>Friction Losses in pipes and specials</t>
  </si>
  <si>
    <t>Suction Head</t>
  </si>
  <si>
    <t>difference in level in CWPS and OHSR</t>
  </si>
  <si>
    <t>Rounding</t>
  </si>
  <si>
    <t>No of stand working pumps</t>
  </si>
  <si>
    <t>No of Working Pumps for RWPS</t>
  </si>
  <si>
    <t>No of Working Pumps for CWPS</t>
  </si>
  <si>
    <t xml:space="preserve">Total quantity of water to be pumped </t>
  </si>
  <si>
    <t>Pump Discharge</t>
  </si>
  <si>
    <t>Pump Kilo Watt</t>
  </si>
  <si>
    <t>Multiplying Coefficient for KW</t>
  </si>
  <si>
    <t>Motor Kilo Watt</t>
  </si>
  <si>
    <t>Rounding , upward multiple of 10</t>
  </si>
  <si>
    <t>Total kilo Watt installed</t>
  </si>
  <si>
    <t>R Main RWPS to WTP DI Pipe K7, Dia in mm</t>
  </si>
  <si>
    <t>Electric Connection on CWPS, RWPS,WTP</t>
  </si>
  <si>
    <t>Electric Connection on CWPS, RWPS &amp; WTP</t>
  </si>
  <si>
    <t>R Main CWPS to Zonal Service Reservoirs</t>
  </si>
  <si>
    <t>Cost of Land for WTP, CWPS, RWPS, SRs</t>
  </si>
  <si>
    <t>Average Cost of rising main CWPS to OHSRs</t>
  </si>
  <si>
    <t>Other contingencies</t>
  </si>
  <si>
    <t>Required capacity of OHSRs (20 to 35%)</t>
  </si>
  <si>
    <t>IV</t>
  </si>
  <si>
    <t xml:space="preserve">to WTP with sump and RWPS, from WTP water collected in CWR and then by </t>
  </si>
  <si>
    <t>Table 2: Clear Water Reservoirs</t>
  </si>
  <si>
    <t xml:space="preserve">Description </t>
  </si>
  <si>
    <t>Table 3: Raw Water Pumping Station</t>
  </si>
  <si>
    <t>Table 4: Over Head Service Reservoirs</t>
  </si>
  <si>
    <t xml:space="preserve">Table 2: Water Demand </t>
  </si>
  <si>
    <t xml:space="preserve">Table 3: WTP Capacity Requirement </t>
  </si>
  <si>
    <t>Parameter</t>
  </si>
  <si>
    <t>Units</t>
  </si>
  <si>
    <t>Table 7: Estimate</t>
  </si>
  <si>
    <r>
      <t>143.534C</t>
    </r>
    <r>
      <rPr>
        <vertAlign val="subscript"/>
        <sz val="10"/>
        <rFont val="Arial Narrow"/>
        <family val="2"/>
      </rPr>
      <t xml:space="preserve">R </t>
    </r>
    <r>
      <rPr>
        <sz val="10"/>
        <rFont val="Arial Narrow"/>
        <family val="2"/>
      </rPr>
      <t>r</t>
    </r>
    <r>
      <rPr>
        <vertAlign val="superscript"/>
        <sz val="10"/>
        <rFont val="Arial Narrow"/>
        <family val="2"/>
      </rPr>
      <t xml:space="preserve">0.6575 </t>
    </r>
    <r>
      <rPr>
        <sz val="10"/>
        <rFont val="Arial Narrow"/>
        <family val="2"/>
      </rPr>
      <t>S</t>
    </r>
    <r>
      <rPr>
        <vertAlign val="superscript"/>
        <sz val="10"/>
        <rFont val="Arial Narrow"/>
        <family val="2"/>
      </rPr>
      <t>0.5525</t>
    </r>
  </si>
  <si>
    <r>
      <t>[L(Q/C</t>
    </r>
    <r>
      <rPr>
        <vertAlign val="subscript"/>
        <sz val="10"/>
        <rFont val="Arial Narrow"/>
        <family val="2"/>
      </rPr>
      <t>R</t>
    </r>
    <r>
      <rPr>
        <sz val="11"/>
        <color indexed="8"/>
        <rFont val="Arial Narrow"/>
        <family val="2"/>
      </rPr>
      <t>)</t>
    </r>
    <r>
      <rPr>
        <vertAlign val="superscript"/>
        <sz val="10"/>
        <rFont val="Arial Narrow"/>
        <family val="2"/>
      </rPr>
      <t xml:space="preserve">1.81 </t>
    </r>
    <r>
      <rPr>
        <sz val="10"/>
        <rFont val="Arial Narrow"/>
        <family val="2"/>
      </rPr>
      <t>]/[994.62D</t>
    </r>
    <r>
      <rPr>
        <vertAlign val="superscript"/>
        <sz val="10"/>
        <rFont val="Arial Narrow"/>
        <family val="2"/>
      </rPr>
      <t>4.81</t>
    </r>
    <r>
      <rPr>
        <sz val="10"/>
        <rFont val="Arial Narrow"/>
        <family val="2"/>
      </rPr>
      <t>]</t>
    </r>
  </si>
  <si>
    <t>Table 8: Clear Water Pumping Station</t>
  </si>
  <si>
    <t>Table 1: Projected Population &amp; Water Demand</t>
  </si>
  <si>
    <t>Gross Water Demand</t>
  </si>
  <si>
    <t xml:space="preserve">Likely Deficit </t>
  </si>
  <si>
    <t>Deficit: Based on current supply levels and likely reduction in supply in future</t>
  </si>
  <si>
    <t>Gross Water Demand: Net water demand + losses</t>
  </si>
  <si>
    <t>Design Period for Storage/rising main</t>
  </si>
  <si>
    <t>Input Growth Rate</t>
  </si>
  <si>
    <t>Table 2: Source &amp; Treatement Capacity</t>
  </si>
  <si>
    <t xml:space="preserve">Particulars </t>
  </si>
  <si>
    <t>Quantity/Value</t>
  </si>
  <si>
    <t>Ultimate WTP Capacity Required (30 years design period)</t>
  </si>
  <si>
    <t>Proposed development of WTP -  2 stage (Intermediate - 15 year and ultimate - 30 years)</t>
  </si>
  <si>
    <t>WTP Capacity (Stage-1 development in base year for intermediate design period)</t>
  </si>
  <si>
    <t>WTP Capacity (Stage-2 development in intermediate year for ultimate design period)</t>
  </si>
  <si>
    <t>Raw Water Requirement (Ultimate Demand + 5% WTP losses)</t>
  </si>
  <si>
    <t xml:space="preserve">Raw Water </t>
  </si>
  <si>
    <t xml:space="preserve">  Stage-1 development (in base year for intermediate design period</t>
  </si>
  <si>
    <t xml:space="preserve">  Stage-2 development (in intermediate year for ultimate design period)</t>
  </si>
  <si>
    <t>ha</t>
  </si>
  <si>
    <t xml:space="preserve">   Ultimate Capacity Required (Ultimate Design Year)</t>
  </si>
  <si>
    <t xml:space="preserve">   Stage-1 development (in base year for intermediate design period</t>
  </si>
  <si>
    <t xml:space="preserve">   Stage-2 development (in intermediate year for ultimate design period)</t>
  </si>
  <si>
    <t xml:space="preserve">   Raw Water Requirement (Ultimate Design Year)</t>
  </si>
  <si>
    <t>Land requirement for WTP ( including for CWR and RWPS/CWPS)</t>
  </si>
  <si>
    <t>m2 per MLD</t>
  </si>
  <si>
    <t>@</t>
  </si>
  <si>
    <t>WTP Capacity &amp; Land Requirement</t>
  </si>
  <si>
    <t>WTP Development Stages</t>
  </si>
  <si>
    <t>Table 3: Raw Water &amp; Clear Water Pumping Requirements</t>
  </si>
  <si>
    <t>Notes:</t>
  </si>
  <si>
    <t>Raw Water Pumping Station</t>
  </si>
  <si>
    <t>No,s</t>
  </si>
  <si>
    <t>No of Standby pumps</t>
  </si>
  <si>
    <t>hours</t>
  </si>
  <si>
    <t>no,s</t>
  </si>
  <si>
    <t>Pump kilowatt</t>
  </si>
  <si>
    <t>Table 4: Raw Water &amp; Clear Water Rising Mains</t>
  </si>
  <si>
    <t>Raw Water Pumping Main (From Source to WTP)</t>
  </si>
  <si>
    <t>Length</t>
  </si>
  <si>
    <t>Diameter</t>
  </si>
  <si>
    <t>Recommended Type of Pipe</t>
  </si>
  <si>
    <t>Total length of pipe</t>
  </si>
  <si>
    <t>Type of Pipe</t>
  </si>
  <si>
    <t>DI K7</t>
  </si>
  <si>
    <t>Clear Water Pumping Main (From WTP to Zonal OHSRs)</t>
  </si>
  <si>
    <t>Total Number of Zones</t>
  </si>
  <si>
    <t>Total Number of Zonal OHSRs (one per each Zone)</t>
  </si>
  <si>
    <t>Total length of Pipeline (for all zones)</t>
  </si>
  <si>
    <t>Table 5: Storage Requirement</t>
  </si>
  <si>
    <t>Clear Water Reservoir (CWR) at WTP</t>
  </si>
  <si>
    <t xml:space="preserve">   Available CWR Capacity </t>
  </si>
  <si>
    <t xml:space="preserve">  Total Capacity to be Developed</t>
  </si>
  <si>
    <t>CWR Development Stages</t>
  </si>
  <si>
    <t>Over Head Service Reservoirs (OHSRs)</t>
  </si>
  <si>
    <t>Number of OHSR per zone</t>
  </si>
  <si>
    <t>Number of Zones Required (Intermediate Year)</t>
  </si>
  <si>
    <t>Recommeded Average Capacity of OHSR</t>
  </si>
  <si>
    <t>Number of Zones Required (Ultimate Year)</t>
  </si>
  <si>
    <t>Total number of zonal OHSRs (intermediate year)</t>
  </si>
  <si>
    <t>Total number of zonal OHSRs (Ultimate Year)</t>
  </si>
  <si>
    <t>Total Storage Requirement of OHSRs</t>
  </si>
  <si>
    <t>Available OHSR Capacity</t>
  </si>
  <si>
    <t>Total OHSR Capacity to be Development</t>
  </si>
  <si>
    <t>OHSR Development Stages</t>
  </si>
  <si>
    <t xml:space="preserve">     Storage Capacity to be Developed</t>
  </si>
  <si>
    <t xml:space="preserve">     Zones to be Developed</t>
  </si>
  <si>
    <t xml:space="preserve">     Total number of zonal OHSRs required</t>
  </si>
  <si>
    <t>City</t>
  </si>
  <si>
    <t xml:space="preserve">Template for Deign and Estimation of Water Supply System with Surface Water Source </t>
  </si>
  <si>
    <t xml:space="preserve">CWPS pumped directly to different service reservoirs , WTP near the city. Single </t>
  </si>
  <si>
    <t xml:space="preserve">stage pumping for raw water and for clear wate. Surface ground generally flat. </t>
  </si>
  <si>
    <t>colours. Input data or review the data/result according to following color codes:</t>
  </si>
  <si>
    <t>Review the provided values &amp;</t>
  </si>
  <si>
    <t>revise/update if required</t>
  </si>
  <si>
    <t>No value to be entered</t>
  </si>
  <si>
    <t>Calculates automatically</t>
  </si>
  <si>
    <t>Intake Arrangements, LS</t>
  </si>
  <si>
    <t>Input data to be provided</t>
  </si>
  <si>
    <t>User Instructions</t>
  </si>
  <si>
    <t>length of pipe Intake to WTP, m</t>
  </si>
  <si>
    <t>Lowest water level in Intake, m</t>
  </si>
  <si>
    <t>Level of Inlet pipe in WTP/FSL in Inlet chamber, m</t>
  </si>
  <si>
    <t>Design Period of pumping main, years</t>
  </si>
  <si>
    <t>Efficiency of Pump set RWPS, %</t>
  </si>
  <si>
    <t>Efficiency of Pump set CWPS, %</t>
  </si>
  <si>
    <t>Length of R Main CWPS to OHSRs, per OHSR, m</t>
  </si>
  <si>
    <t>Assumed losses in Rising Main &amp; specials, meter/kilometer</t>
  </si>
  <si>
    <t>Minimum sump level below Ground level, meter</t>
  </si>
  <si>
    <t>Ground level at  CWPS, meters</t>
  </si>
  <si>
    <t>GL at OHSR site (maximum level ), meters</t>
  </si>
  <si>
    <r>
      <t xml:space="preserve">1 </t>
    </r>
    <r>
      <rPr>
        <b/>
        <sz val="10.5"/>
        <color indexed="56"/>
        <rFont val="Arial Narrow"/>
        <family val="2"/>
      </rPr>
      <t>Where Applicable:</t>
    </r>
    <r>
      <rPr>
        <sz val="10.5"/>
        <color indexed="56"/>
        <rFont val="Arial Narrow"/>
        <family val="2"/>
      </rPr>
      <t xml:space="preserve">This is for augmentation by new surface water source, water pumped from intake </t>
    </r>
  </si>
  <si>
    <r>
      <t>2</t>
    </r>
    <r>
      <rPr>
        <b/>
        <sz val="10.5"/>
        <color indexed="56"/>
        <rFont val="Arial Narrow"/>
        <family val="2"/>
      </rPr>
      <t>Input Data:</t>
    </r>
    <r>
      <rPr>
        <sz val="10.5"/>
        <color indexed="56"/>
        <rFont val="Arial Narrow"/>
        <family val="2"/>
      </rPr>
      <t xml:space="preserve">The cells for data input and requiring users review are shaded with different </t>
    </r>
  </si>
  <si>
    <r>
      <t xml:space="preserve">3 Output: </t>
    </r>
    <r>
      <rPr>
        <sz val="10.5"/>
        <rFont val="Arial Narrow"/>
        <family val="2"/>
      </rPr>
      <t>6 output tables are given which is final output and shall be part of report</t>
    </r>
  </si>
  <si>
    <t xml:space="preserve">then it should be given in decadal growth  </t>
  </si>
  <si>
    <t xml:space="preserve">than 1000000 else 160 LPCD as per Manual. Initial losses has been taken as </t>
  </si>
  <si>
    <t xml:space="preserve">given in Input data and it remain same for next 5 years and then decrease by </t>
  </si>
  <si>
    <r>
      <rPr>
        <b/>
        <sz val="10.5"/>
        <rFont val="Arial Narrow"/>
        <family val="2"/>
      </rPr>
      <t>5 Demand Projection:</t>
    </r>
    <r>
      <rPr>
        <sz val="10.5"/>
        <rFont val="Arial Narrow"/>
        <family val="2"/>
      </rPr>
      <t xml:space="preserve"> Water demand has been taken 135 LPCD if population less </t>
    </r>
  </si>
  <si>
    <t xml:space="preserve">10% every decade till minimum of 15 %, Fire demand taken as per manual </t>
  </si>
  <si>
    <t>The existing supply taken from input data and in future existing supply reduced</t>
  </si>
  <si>
    <t>as per % reduction stared in input data, requirement -existing source=demand</t>
  </si>
  <si>
    <r>
      <t>6 Capacity of CWRs required:</t>
    </r>
    <r>
      <rPr>
        <sz val="10.5"/>
        <rFont val="Arial Narrow"/>
        <family val="2"/>
      </rPr>
      <t xml:space="preserve"> Requirement for year 15 and 30 years </t>
    </r>
  </si>
  <si>
    <t>taken from water demand sheet, Storage norms taken from input sheet</t>
  </si>
  <si>
    <r>
      <t xml:space="preserve">7 Rising main Design: </t>
    </r>
    <r>
      <rPr>
        <sz val="10.5"/>
        <rFont val="Arial Narrow"/>
        <family val="2"/>
      </rPr>
      <t xml:space="preserve">template for rising Main design used to find </t>
    </r>
  </si>
  <si>
    <t>economical size of rising main</t>
  </si>
  <si>
    <r>
      <rPr>
        <b/>
        <sz val="10.5"/>
        <rFont val="Arial Narrow"/>
        <family val="2"/>
      </rPr>
      <t xml:space="preserve">8 Raw Water Pumping Station: </t>
    </r>
    <r>
      <rPr>
        <sz val="10.5"/>
        <rFont val="Arial Narrow"/>
        <family val="2"/>
      </rPr>
      <t>Head, discharge and Kilowatt calculated</t>
    </r>
  </si>
  <si>
    <r>
      <rPr>
        <b/>
        <sz val="10.5"/>
        <rFont val="Arial Narrow"/>
        <family val="2"/>
      </rPr>
      <t>9 Over Head Service Reservoir:</t>
    </r>
    <r>
      <rPr>
        <sz val="10.5"/>
        <rFont val="Arial Narrow"/>
        <family val="2"/>
      </rPr>
      <t xml:space="preserve"> Total Capacity worked out for 15/30 year DP</t>
    </r>
  </si>
  <si>
    <t>No of distribution zones and OHSRs found for year 15/30 years DP</t>
  </si>
  <si>
    <r>
      <t>10 Clear Water Pumping Station:</t>
    </r>
    <r>
      <rPr>
        <sz val="10.5"/>
        <rFont val="Arial Narrow"/>
        <family val="2"/>
      </rPr>
      <t xml:space="preserve"> Head, discharge and Kilowatt calculated</t>
    </r>
  </si>
  <si>
    <r>
      <t xml:space="preserve">11 Estimate: </t>
    </r>
    <r>
      <rPr>
        <sz val="10.5"/>
        <rFont val="Arial Narrow"/>
        <family val="2"/>
      </rPr>
      <t xml:space="preserve">Estimate has been worked out as per unit rates in input sheet </t>
    </r>
  </si>
  <si>
    <t>and quantities and sizes worked out in different sheets</t>
  </si>
  <si>
    <t xml:space="preserve">Enter data if condition </t>
  </si>
  <si>
    <t>satisfies</t>
  </si>
  <si>
    <t xml:space="preserve">standard methods. If decadal growth is assigned for future </t>
  </si>
  <si>
    <t>No data to be entered select from drop down menu</t>
  </si>
  <si>
    <t>CALCULATION     OF      LEAST-COST      PIPE SIZE</t>
  </si>
  <si>
    <t>Intake to WTP</t>
  </si>
  <si>
    <r>
      <t xml:space="preserve">12 WTP Capacity &amp; Land required: </t>
    </r>
    <r>
      <rPr>
        <sz val="10.5"/>
        <rFont val="Arial Narrow"/>
        <family val="2"/>
      </rPr>
      <t xml:space="preserve">WTP capacity and raw water requirement </t>
    </r>
  </si>
  <si>
    <t>in phase 1 and in phase 2 calculated in Demand sheet</t>
  </si>
  <si>
    <r>
      <t>4</t>
    </r>
    <r>
      <rPr>
        <b/>
        <sz val="10.5"/>
        <rFont val="Arial Narrow"/>
        <family val="2"/>
      </rPr>
      <t xml:space="preserve"> Population Projection:</t>
    </r>
    <r>
      <rPr>
        <sz val="10.5"/>
        <rFont val="Arial Narrow"/>
        <family val="2"/>
      </rPr>
      <t xml:space="preserve"> This tool gives population projection by different 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</si>
</sst>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"/>
    <numFmt numFmtId="166" formatCode="mm/dd/yy_)"/>
    <numFmt numFmtId="167" formatCode="0.00_)"/>
    <numFmt numFmtId="168" formatCode="0.0"/>
    <numFmt numFmtId="169" formatCode="0.000"/>
    <numFmt numFmtId="170" formatCode="0.0000000"/>
    <numFmt numFmtId="171" formatCode="0.000000000"/>
    <numFmt numFmtId="172" formatCode="0.00000_)"/>
    <numFmt numFmtId="173" formatCode="0.000000_)"/>
    <numFmt numFmtId="174" formatCode="0.00000"/>
    <numFmt numFmtId="175" formatCode="0.000000"/>
    <numFmt numFmtId="176" formatCode="0.00000000_)"/>
    <numFmt numFmtId="177" formatCode="_(* #,##0.0000000_);_(* \(#,##0.0000000\);_(* &quot;-&quot;??_);_(@_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.5"/>
      <name val="Arial Narrow"/>
      <family val="2"/>
    </font>
    <font>
      <u val="single"/>
      <sz val="10.5"/>
      <name val="Arial Narrow"/>
      <family val="2"/>
    </font>
    <font>
      <u val="single"/>
      <sz val="10.5"/>
      <color indexed="40"/>
      <name val="Arial Narrow"/>
      <family val="2"/>
    </font>
    <font>
      <b/>
      <sz val="10.5"/>
      <name val="Arial Narrow"/>
      <family val="2"/>
    </font>
    <font>
      <sz val="10.5"/>
      <color indexed="56"/>
      <name val="Arial Narrow"/>
      <family val="2"/>
    </font>
    <font>
      <sz val="10.5"/>
      <color indexed="10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sz val="10.5"/>
      <color indexed="30"/>
      <name val="Arial Narrow"/>
      <family val="2"/>
    </font>
    <font>
      <b/>
      <sz val="10.5"/>
      <color indexed="10"/>
      <name val="Arial Narrow"/>
      <family val="2"/>
    </font>
    <font>
      <sz val="10.5"/>
      <color indexed="10"/>
      <name val="Arial"/>
      <family val="2"/>
    </font>
    <font>
      <sz val="10.5"/>
      <color indexed="12"/>
      <name val="Arial Narrow"/>
      <family val="2"/>
    </font>
    <font>
      <sz val="10"/>
      <name val="Courier"/>
      <family val="0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vertAlign val="subscript"/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.5"/>
      <color indexed="5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.5"/>
      <color rgb="FF00B0F0"/>
      <name val="Arial Narrow"/>
      <family val="2"/>
    </font>
    <font>
      <sz val="10.5"/>
      <color rgb="FFFF0000"/>
      <name val="Arial Narrow"/>
      <family val="2"/>
    </font>
    <font>
      <sz val="10.5"/>
      <color theme="1"/>
      <name val="Arial Narrow"/>
      <family val="2"/>
    </font>
    <font>
      <b/>
      <sz val="10.5"/>
      <color theme="1"/>
      <name val="Arial Narrow"/>
      <family val="2"/>
    </font>
    <font>
      <sz val="10.5"/>
      <color rgb="FF0070C0"/>
      <name val="Arial Narrow"/>
      <family val="2"/>
    </font>
    <font>
      <b/>
      <sz val="10.5"/>
      <color rgb="FFFF0000"/>
      <name val="Arial Narrow"/>
      <family val="2"/>
    </font>
    <font>
      <sz val="10.5"/>
      <color rgb="FFFF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.5"/>
      <color theme="3"/>
      <name val="Arial Narrow"/>
      <family val="2"/>
    </font>
    <font>
      <sz val="11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hair"/>
      <bottom style="hair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 style="hair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8" fillId="0" borderId="0">
      <alignment/>
      <protection/>
    </xf>
    <xf numFmtId="168" fontId="15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87">
    <xf numFmtId="0" fontId="0" fillId="0" borderId="0" xfId="0" applyFont="1" applyAlignment="1">
      <alignment/>
    </xf>
    <xf numFmtId="0" fontId="3" fillId="0" borderId="0" xfId="56" applyFont="1" applyBorder="1" applyProtection="1">
      <alignment/>
      <protection hidden="1"/>
    </xf>
    <xf numFmtId="0" fontId="4" fillId="0" borderId="0" xfId="56" applyFont="1" applyBorder="1" applyProtection="1">
      <alignment/>
      <protection hidden="1"/>
    </xf>
    <xf numFmtId="0" fontId="61" fillId="0" borderId="0" xfId="56" applyFont="1" applyBorder="1" applyProtection="1">
      <alignment/>
      <protection hidden="1"/>
    </xf>
    <xf numFmtId="0" fontId="3" fillId="0" borderId="0" xfId="56" applyFont="1" applyFill="1" applyBorder="1" applyProtection="1">
      <alignment/>
      <protection hidden="1"/>
    </xf>
    <xf numFmtId="0" fontId="3" fillId="0" borderId="10" xfId="56" applyFont="1" applyBorder="1" applyProtection="1">
      <alignment/>
      <protection hidden="1"/>
    </xf>
    <xf numFmtId="0" fontId="3" fillId="0" borderId="11" xfId="56" applyFont="1" applyBorder="1" applyProtection="1">
      <alignment/>
      <protection hidden="1"/>
    </xf>
    <xf numFmtId="0" fontId="3" fillId="0" borderId="10" xfId="56" applyFont="1" applyFill="1" applyBorder="1" applyProtection="1">
      <alignment/>
      <protection hidden="1"/>
    </xf>
    <xf numFmtId="0" fontId="3" fillId="0" borderId="11" xfId="56" applyFont="1" applyFill="1" applyBorder="1" applyProtection="1">
      <alignment/>
      <protection hidden="1"/>
    </xf>
    <xf numFmtId="0" fontId="3" fillId="0" borderId="0" xfId="56" applyFont="1" applyBorder="1" applyProtection="1">
      <alignment/>
      <protection hidden="1" locked="0"/>
    </xf>
    <xf numFmtId="43" fontId="3" fillId="33" borderId="0" xfId="44" applyFont="1" applyFill="1" applyBorder="1" applyAlignment="1" applyProtection="1">
      <alignment horizontal="center"/>
      <protection hidden="1" locked="0"/>
    </xf>
    <xf numFmtId="0" fontId="62" fillId="0" borderId="0" xfId="56" applyFont="1" applyFill="1" applyBorder="1" applyProtection="1">
      <alignment/>
      <protection hidden="1"/>
    </xf>
    <xf numFmtId="164" fontId="3" fillId="0" borderId="0" xfId="44" applyNumberFormat="1" applyFont="1" applyFill="1" applyBorder="1" applyAlignment="1" applyProtection="1">
      <alignment/>
      <protection hidden="1"/>
    </xf>
    <xf numFmtId="164" fontId="62" fillId="0" borderId="0" xfId="44" applyNumberFormat="1" applyFont="1" applyFill="1" applyBorder="1" applyAlignment="1" applyProtection="1">
      <alignment/>
      <protection hidden="1"/>
    </xf>
    <xf numFmtId="0" fontId="3" fillId="0" borderId="0" xfId="56" applyFont="1" applyFill="1" applyBorder="1" applyAlignment="1" applyProtection="1">
      <alignment horizontal="center"/>
      <protection hidden="1"/>
    </xf>
    <xf numFmtId="0" fontId="3" fillId="0" borderId="11" xfId="56" applyFont="1" applyFill="1" applyBorder="1" applyAlignment="1" applyProtection="1">
      <alignment horizontal="center"/>
      <protection hidden="1"/>
    </xf>
    <xf numFmtId="0" fontId="3" fillId="0" borderId="0" xfId="56" applyFont="1" applyFill="1" applyBorder="1" applyAlignment="1" applyProtection="1">
      <alignment vertical="top" wrapText="1"/>
      <protection hidden="1"/>
    </xf>
    <xf numFmtId="0" fontId="63" fillId="0" borderId="10" xfId="0" applyFont="1" applyBorder="1" applyAlignment="1">
      <alignment/>
    </xf>
    <xf numFmtId="0" fontId="63" fillId="0" borderId="11" xfId="0" applyFont="1" applyBorder="1" applyAlignment="1">
      <alignment horizontal="left"/>
    </xf>
    <xf numFmtId="0" fontId="3" fillId="0" borderId="11" xfId="56" applyFont="1" applyBorder="1" applyAlignment="1" applyProtection="1">
      <alignment horizontal="center"/>
      <protection hidden="1"/>
    </xf>
    <xf numFmtId="0" fontId="63" fillId="0" borderId="12" xfId="0" applyFont="1" applyBorder="1" applyAlignment="1">
      <alignment vertical="center"/>
    </xf>
    <xf numFmtId="0" fontId="63" fillId="0" borderId="12" xfId="0" applyFont="1" applyFill="1" applyBorder="1" applyAlignment="1">
      <alignment vertical="center"/>
    </xf>
    <xf numFmtId="0" fontId="63" fillId="0" borderId="13" xfId="0" applyFont="1" applyFill="1" applyBorder="1" applyAlignment="1">
      <alignment vertical="center"/>
    </xf>
    <xf numFmtId="10" fontId="3" fillId="2" borderId="14" xfId="56" applyNumberFormat="1" applyFont="1" applyFill="1" applyBorder="1" applyAlignment="1" applyProtection="1">
      <alignment horizontal="center"/>
      <protection hidden="1" locked="0"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34" borderId="13" xfId="0" applyFont="1" applyFill="1" applyBorder="1" applyAlignment="1">
      <alignment/>
    </xf>
    <xf numFmtId="0" fontId="63" fillId="0" borderId="13" xfId="0" applyFont="1" applyBorder="1" applyAlignment="1">
      <alignment wrapText="1"/>
    </xf>
    <xf numFmtId="0" fontId="64" fillId="0" borderId="0" xfId="56" applyFont="1" applyProtection="1">
      <alignment/>
      <protection hidden="1"/>
    </xf>
    <xf numFmtId="0" fontId="63" fillId="0" borderId="0" xfId="56" applyFont="1" applyProtection="1">
      <alignment/>
      <protection hidden="1"/>
    </xf>
    <xf numFmtId="0" fontId="62" fillId="0" borderId="0" xfId="56" applyFont="1" applyProtection="1">
      <alignment/>
      <protection hidden="1"/>
    </xf>
    <xf numFmtId="164" fontId="63" fillId="0" borderId="0" xfId="44" applyNumberFormat="1" applyFont="1" applyAlignment="1" applyProtection="1">
      <alignment/>
      <protection hidden="1"/>
    </xf>
    <xf numFmtId="10" fontId="62" fillId="0" borderId="0" xfId="61" applyNumberFormat="1" applyFont="1" applyAlignment="1" applyProtection="1">
      <alignment/>
      <protection hidden="1"/>
    </xf>
    <xf numFmtId="0" fontId="63" fillId="0" borderId="0" xfId="56" applyFont="1" applyFill="1" applyProtection="1">
      <alignment/>
      <protection hidden="1"/>
    </xf>
    <xf numFmtId="164" fontId="63" fillId="0" borderId="0" xfId="56" applyNumberFormat="1" applyFont="1" applyProtection="1">
      <alignment/>
      <protection hidden="1"/>
    </xf>
    <xf numFmtId="1" fontId="63" fillId="35" borderId="0" xfId="56" applyNumberFormat="1" applyFont="1" applyFill="1" applyProtection="1">
      <alignment/>
      <protection hidden="1"/>
    </xf>
    <xf numFmtId="164" fontId="65" fillId="0" borderId="0" xfId="56" applyNumberFormat="1" applyFont="1" applyProtection="1">
      <alignment/>
      <protection hidden="1"/>
    </xf>
    <xf numFmtId="10" fontId="65" fillId="0" borderId="0" xfId="61" applyNumberFormat="1" applyFont="1" applyAlignment="1" applyProtection="1">
      <alignment/>
      <protection hidden="1"/>
    </xf>
    <xf numFmtId="1" fontId="63" fillId="0" borderId="0" xfId="56" applyNumberFormat="1" applyFont="1" applyProtection="1">
      <alignment/>
      <protection hidden="1"/>
    </xf>
    <xf numFmtId="0" fontId="63" fillId="0" borderId="0" xfId="56" applyFont="1" applyAlignment="1" applyProtection="1">
      <alignment vertical="top"/>
      <protection hidden="1"/>
    </xf>
    <xf numFmtId="2" fontId="63" fillId="0" borderId="0" xfId="56" applyNumberFormat="1" applyFont="1" applyAlignment="1" applyProtection="1">
      <alignment vertical="top" wrapText="1"/>
      <protection hidden="1"/>
    </xf>
    <xf numFmtId="164" fontId="62" fillId="0" borderId="0" xfId="44" applyNumberFormat="1" applyFont="1" applyAlignment="1" applyProtection="1">
      <alignment/>
      <protection hidden="1"/>
    </xf>
    <xf numFmtId="43" fontId="14" fillId="36" borderId="0" xfId="44" applyFont="1" applyFill="1" applyAlignment="1" applyProtection="1">
      <alignment horizontal="center"/>
      <protection hidden="1"/>
    </xf>
    <xf numFmtId="0" fontId="63" fillId="0" borderId="15" xfId="0" applyFont="1" applyBorder="1" applyAlignment="1">
      <alignment vertical="center" wrapText="1"/>
    </xf>
    <xf numFmtId="0" fontId="3" fillId="0" borderId="12" xfId="56" applyFont="1" applyBorder="1" applyAlignment="1" applyProtection="1">
      <alignment/>
      <protection hidden="1"/>
    </xf>
    <xf numFmtId="10" fontId="3" fillId="0" borderId="0" xfId="56" applyNumberFormat="1" applyFont="1" applyFill="1" applyBorder="1" applyAlignment="1" applyProtection="1">
      <alignment horizontal="center"/>
      <protection hidden="1" locked="0"/>
    </xf>
    <xf numFmtId="164" fontId="3" fillId="0" borderId="11" xfId="44" applyNumberFormat="1" applyFont="1" applyFill="1" applyBorder="1" applyAlignment="1" applyProtection="1">
      <alignment horizontal="center"/>
      <protection hidden="1" locked="0"/>
    </xf>
    <xf numFmtId="1" fontId="3" fillId="0" borderId="0" xfId="56" applyNumberFormat="1" applyFont="1" applyFill="1" applyBorder="1" applyProtection="1">
      <alignment/>
      <protection hidden="1"/>
    </xf>
    <xf numFmtId="164" fontId="3" fillId="33" borderId="0" xfId="44" applyNumberFormat="1" applyFont="1" applyFill="1" applyBorder="1" applyAlignment="1" applyProtection="1">
      <alignment horizontal="center"/>
      <protection hidden="1" locked="0"/>
    </xf>
    <xf numFmtId="1" fontId="3" fillId="0" borderId="0" xfId="56" applyNumberFormat="1" applyFont="1" applyFill="1" applyBorder="1" applyAlignment="1" applyProtection="1">
      <alignment horizontal="right"/>
      <protection hidden="1" locked="0"/>
    </xf>
    <xf numFmtId="1" fontId="3" fillId="35" borderId="0" xfId="56" applyNumberFormat="1" applyFont="1" applyFill="1" applyBorder="1" applyAlignment="1" applyProtection="1">
      <alignment horizontal="right"/>
      <protection hidden="1" locked="0"/>
    </xf>
    <xf numFmtId="0" fontId="3" fillId="0" borderId="16" xfId="56" applyFont="1" applyBorder="1" applyProtection="1">
      <alignment/>
      <protection hidden="1"/>
    </xf>
    <xf numFmtId="0" fontId="3" fillId="0" borderId="13" xfId="56" applyFont="1" applyBorder="1" applyProtection="1">
      <alignment/>
      <protection hidden="1"/>
    </xf>
    <xf numFmtId="0" fontId="63" fillId="0" borderId="17" xfId="0" applyFont="1" applyBorder="1" applyAlignment="1">
      <alignment/>
    </xf>
    <xf numFmtId="0" fontId="3" fillId="0" borderId="12" xfId="56" applyFont="1" applyFill="1" applyBorder="1" applyProtection="1">
      <alignment/>
      <protection hidden="1"/>
    </xf>
    <xf numFmtId="0" fontId="6" fillId="0" borderId="0" xfId="56" applyFont="1" applyBorder="1" applyProtection="1">
      <alignment/>
      <protection hidden="1"/>
    </xf>
    <xf numFmtId="0" fontId="63" fillId="34" borderId="17" xfId="0" applyFont="1" applyFill="1" applyBorder="1" applyAlignment="1">
      <alignment horizontal="left"/>
    </xf>
    <xf numFmtId="0" fontId="63" fillId="34" borderId="18" xfId="0" applyFont="1" applyFill="1" applyBorder="1" applyAlignment="1">
      <alignment horizontal="left"/>
    </xf>
    <xf numFmtId="0" fontId="3" fillId="0" borderId="19" xfId="56" applyFont="1" applyBorder="1" applyProtection="1">
      <alignment/>
      <protection hidden="1"/>
    </xf>
    <xf numFmtId="0" fontId="3" fillId="0" borderId="20" xfId="56" applyFont="1" applyBorder="1" applyProtection="1">
      <alignment/>
      <protection hidden="1"/>
    </xf>
    <xf numFmtId="0" fontId="3" fillId="0" borderId="21" xfId="56" applyFont="1" applyFill="1" applyBorder="1" applyProtection="1">
      <alignment/>
      <protection hidden="1"/>
    </xf>
    <xf numFmtId="0" fontId="3" fillId="0" borderId="13" xfId="56" applyFont="1" applyFill="1" applyBorder="1" applyProtection="1">
      <alignment/>
      <protection hidden="1"/>
    </xf>
    <xf numFmtId="0" fontId="3" fillId="0" borderId="22" xfId="56" applyFont="1" applyBorder="1" applyProtection="1">
      <alignment/>
      <protection hidden="1"/>
    </xf>
    <xf numFmtId="0" fontId="3" fillId="0" borderId="23" xfId="56" applyFont="1" applyBorder="1" applyProtection="1">
      <alignment/>
      <protection hidden="1"/>
    </xf>
    <xf numFmtId="0" fontId="63" fillId="0" borderId="0" xfId="56" applyFont="1" applyAlignment="1" applyProtection="1">
      <alignment vertical="top" wrapText="1"/>
      <protection hidden="1"/>
    </xf>
    <xf numFmtId="164" fontId="62" fillId="0" borderId="0" xfId="60" applyNumberFormat="1" applyFont="1" applyAlignment="1" applyProtection="1">
      <alignment/>
      <protection hidden="1"/>
    </xf>
    <xf numFmtId="10" fontId="62" fillId="0" borderId="0" xfId="60" applyNumberFormat="1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0" fontId="63" fillId="0" borderId="0" xfId="0" applyFont="1" applyAlignment="1" applyProtection="1">
      <alignment/>
      <protection hidden="1"/>
    </xf>
    <xf numFmtId="164" fontId="66" fillId="0" borderId="0" xfId="0" applyNumberFormat="1" applyFont="1" applyAlignment="1" applyProtection="1">
      <alignment/>
      <protection hidden="1"/>
    </xf>
    <xf numFmtId="10" fontId="66" fillId="0" borderId="0" xfId="60" applyNumberFormat="1" applyFont="1" applyAlignment="1" applyProtection="1">
      <alignment/>
      <protection hidden="1"/>
    </xf>
    <xf numFmtId="164" fontId="62" fillId="0" borderId="0" xfId="0" applyNumberFormat="1" applyFont="1" applyAlignment="1" applyProtection="1">
      <alignment/>
      <protection hidden="1"/>
    </xf>
    <xf numFmtId="164" fontId="67" fillId="0" borderId="0" xfId="42" applyNumberFormat="1" applyFont="1" applyAlignment="1" applyProtection="1">
      <alignment/>
      <protection hidden="1"/>
    </xf>
    <xf numFmtId="164" fontId="62" fillId="0" borderId="0" xfId="42" applyNumberFormat="1" applyFont="1" applyAlignment="1" applyProtection="1">
      <alignment/>
      <protection hidden="1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 wrapText="1"/>
    </xf>
    <xf numFmtId="0" fontId="70" fillId="0" borderId="24" xfId="0" applyFont="1" applyBorder="1" applyAlignment="1">
      <alignment/>
    </xf>
    <xf numFmtId="0" fontId="70" fillId="0" borderId="14" xfId="0" applyFont="1" applyBorder="1" applyAlignment="1">
      <alignment/>
    </xf>
    <xf numFmtId="0" fontId="70" fillId="0" borderId="25" xfId="0" applyFont="1" applyBorder="1" applyAlignment="1">
      <alignment/>
    </xf>
    <xf numFmtId="1" fontId="68" fillId="0" borderId="24" xfId="0" applyNumberFormat="1" applyFont="1" applyBorder="1" applyAlignment="1">
      <alignment/>
    </xf>
    <xf numFmtId="2" fontId="68" fillId="0" borderId="14" xfId="0" applyNumberFormat="1" applyFont="1" applyBorder="1" applyAlignment="1">
      <alignment/>
    </xf>
    <xf numFmtId="0" fontId="68" fillId="0" borderId="14" xfId="0" applyFont="1" applyBorder="1" applyAlignment="1">
      <alignment/>
    </xf>
    <xf numFmtId="2" fontId="68" fillId="0" borderId="25" xfId="0" applyNumberFormat="1" applyFont="1" applyBorder="1" applyAlignment="1">
      <alignment/>
    </xf>
    <xf numFmtId="1" fontId="68" fillId="0" borderId="26" xfId="0" applyNumberFormat="1" applyFont="1" applyBorder="1" applyAlignment="1">
      <alignment/>
    </xf>
    <xf numFmtId="2" fontId="68" fillId="0" borderId="27" xfId="0" applyNumberFormat="1" applyFont="1" applyBorder="1" applyAlignment="1">
      <alignment/>
    </xf>
    <xf numFmtId="0" fontId="68" fillId="0" borderId="27" xfId="0" applyFont="1" applyBorder="1" applyAlignment="1">
      <alignment/>
    </xf>
    <xf numFmtId="2" fontId="68" fillId="0" borderId="28" xfId="0" applyNumberFormat="1" applyFont="1" applyBorder="1" applyAlignment="1">
      <alignment/>
    </xf>
    <xf numFmtId="0" fontId="69" fillId="0" borderId="0" xfId="0" applyFont="1" applyAlignment="1">
      <alignment horizontal="left"/>
    </xf>
    <xf numFmtId="0" fontId="68" fillId="0" borderId="0" xfId="0" applyFont="1" applyAlignment="1">
      <alignment/>
    </xf>
    <xf numFmtId="0" fontId="68" fillId="22" borderId="29" xfId="0" applyFont="1" applyFill="1" applyBorder="1" applyAlignment="1">
      <alignment/>
    </xf>
    <xf numFmtId="0" fontId="68" fillId="22" borderId="30" xfId="0" applyFont="1" applyFill="1" applyBorder="1" applyAlignment="1">
      <alignment/>
    </xf>
    <xf numFmtId="0" fontId="68" fillId="22" borderId="30" xfId="0" applyFont="1" applyFill="1" applyBorder="1" applyAlignment="1">
      <alignment wrapText="1"/>
    </xf>
    <xf numFmtId="0" fontId="68" fillId="22" borderId="31" xfId="0" applyFont="1" applyFill="1" applyBorder="1" applyAlignment="1">
      <alignment wrapText="1"/>
    </xf>
    <xf numFmtId="0" fontId="69" fillId="22" borderId="29" xfId="0" applyFont="1" applyFill="1" applyBorder="1" applyAlignment="1">
      <alignment horizontal="left"/>
    </xf>
    <xf numFmtId="0" fontId="69" fillId="22" borderId="30" xfId="0" applyFont="1" applyFill="1" applyBorder="1" applyAlignment="1">
      <alignment horizontal="left"/>
    </xf>
    <xf numFmtId="0" fontId="69" fillId="22" borderId="31" xfId="0" applyFont="1" applyFill="1" applyBorder="1" applyAlignment="1">
      <alignment horizontal="left"/>
    </xf>
    <xf numFmtId="0" fontId="68" fillId="0" borderId="24" xfId="0" applyFont="1" applyBorder="1" applyAlignment="1">
      <alignment/>
    </xf>
    <xf numFmtId="0" fontId="68" fillId="0" borderId="14" xfId="0" applyFont="1" applyBorder="1" applyAlignment="1">
      <alignment/>
    </xf>
    <xf numFmtId="43" fontId="68" fillId="0" borderId="25" xfId="42" applyFont="1" applyBorder="1" applyAlignment="1">
      <alignment/>
    </xf>
    <xf numFmtId="177" fontId="68" fillId="0" borderId="25" xfId="42" applyNumberFormat="1" applyFont="1" applyBorder="1" applyAlignment="1">
      <alignment/>
    </xf>
    <xf numFmtId="164" fontId="68" fillId="0" borderId="25" xfId="42" applyNumberFormat="1" applyFont="1" applyBorder="1" applyAlignment="1">
      <alignment/>
    </xf>
    <xf numFmtId="0" fontId="68" fillId="0" borderId="24" xfId="0" applyFont="1" applyBorder="1" applyAlignment="1">
      <alignment wrapText="1"/>
    </xf>
    <xf numFmtId="0" fontId="68" fillId="0" borderId="14" xfId="0" applyFont="1" applyBorder="1" applyAlignment="1">
      <alignment wrapText="1"/>
    </xf>
    <xf numFmtId="0" fontId="68" fillId="0" borderId="26" xfId="0" applyFont="1" applyBorder="1" applyAlignment="1">
      <alignment/>
    </xf>
    <xf numFmtId="0" fontId="68" fillId="0" borderId="27" xfId="0" applyFont="1" applyBorder="1" applyAlignment="1">
      <alignment/>
    </xf>
    <xf numFmtId="164" fontId="68" fillId="0" borderId="28" xfId="42" applyNumberFormat="1" applyFont="1" applyBorder="1" applyAlignment="1">
      <alignment/>
    </xf>
    <xf numFmtId="0" fontId="68" fillId="22" borderId="29" xfId="0" applyFont="1" applyFill="1" applyBorder="1" applyAlignment="1">
      <alignment vertical="top"/>
    </xf>
    <xf numFmtId="0" fontId="68" fillId="22" borderId="30" xfId="0" applyFont="1" applyFill="1" applyBorder="1" applyAlignment="1">
      <alignment vertical="top"/>
    </xf>
    <xf numFmtId="0" fontId="68" fillId="22" borderId="30" xfId="0" applyFont="1" applyFill="1" applyBorder="1" applyAlignment="1">
      <alignment vertical="top" wrapText="1"/>
    </xf>
    <xf numFmtId="0" fontId="68" fillId="22" borderId="31" xfId="0" applyFont="1" applyFill="1" applyBorder="1" applyAlignment="1">
      <alignment vertical="top" wrapText="1"/>
    </xf>
    <xf numFmtId="0" fontId="68" fillId="0" borderId="24" xfId="0" applyFont="1" applyBorder="1" applyAlignment="1">
      <alignment/>
    </xf>
    <xf numFmtId="0" fontId="68" fillId="0" borderId="26" xfId="0" applyFont="1" applyBorder="1" applyAlignment="1">
      <alignment/>
    </xf>
    <xf numFmtId="43" fontId="68" fillId="0" borderId="14" xfId="42" applyFont="1" applyBorder="1" applyAlignment="1">
      <alignment/>
    </xf>
    <xf numFmtId="43" fontId="68" fillId="0" borderId="27" xfId="42" applyFont="1" applyBorder="1" applyAlignment="1">
      <alignment/>
    </xf>
    <xf numFmtId="43" fontId="68" fillId="0" borderId="28" xfId="42" applyFont="1" applyBorder="1" applyAlignment="1">
      <alignment/>
    </xf>
    <xf numFmtId="0" fontId="69" fillId="0" borderId="0" xfId="0" applyFont="1" applyAlignment="1">
      <alignment/>
    </xf>
    <xf numFmtId="0" fontId="3" fillId="0" borderId="0" xfId="56" applyFont="1" applyBorder="1" applyAlignment="1" applyProtection="1">
      <alignment horizontal="center"/>
      <protection hidden="1"/>
    </xf>
    <xf numFmtId="10" fontId="3" fillId="35" borderId="0" xfId="60" applyNumberFormat="1" applyFont="1" applyFill="1" applyAlignment="1" applyProtection="1">
      <alignment/>
      <protection hidden="1"/>
    </xf>
    <xf numFmtId="10" fontId="3" fillId="2" borderId="32" xfId="60" applyNumberFormat="1" applyFont="1" applyFill="1" applyBorder="1" applyAlignment="1" applyProtection="1">
      <alignment horizontal="center"/>
      <protection hidden="1" locked="0"/>
    </xf>
    <xf numFmtId="0" fontId="68" fillId="0" borderId="0" xfId="0" applyFont="1" applyFill="1" applyBorder="1" applyAlignment="1">
      <alignment horizontal="left"/>
    </xf>
    <xf numFmtId="43" fontId="68" fillId="0" borderId="0" xfId="0" applyNumberFormat="1" applyFont="1" applyAlignment="1">
      <alignment/>
    </xf>
    <xf numFmtId="164" fontId="68" fillId="0" borderId="0" xfId="42" applyNumberFormat="1" applyFont="1" applyAlignment="1">
      <alignment/>
    </xf>
    <xf numFmtId="164" fontId="68" fillId="0" borderId="0" xfId="0" applyNumberFormat="1" applyFont="1" applyAlignment="1">
      <alignment/>
    </xf>
    <xf numFmtId="0" fontId="25" fillId="0" borderId="0" xfId="56" applyFont="1" applyBorder="1" applyProtection="1">
      <alignment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11" xfId="0" applyFont="1" applyBorder="1" applyAlignment="1" applyProtection="1">
      <alignment vertical="top" wrapText="1"/>
      <protection hidden="1"/>
    </xf>
    <xf numFmtId="0" fontId="3" fillId="0" borderId="1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36" borderId="10" xfId="0" applyFont="1" applyFill="1" applyBorder="1" applyAlignment="1" applyProtection="1">
      <alignment vertical="top" wrapText="1"/>
      <protection hidden="1"/>
    </xf>
    <xf numFmtId="0" fontId="3" fillId="37" borderId="10" xfId="0" applyFont="1" applyFill="1" applyBorder="1" applyAlignment="1" applyProtection="1">
      <alignment vertical="top" wrapText="1"/>
      <protection hidden="1"/>
    </xf>
    <xf numFmtId="0" fontId="3" fillId="0" borderId="11" xfId="0" applyFont="1" applyBorder="1" applyAlignment="1" applyProtection="1">
      <alignment vertical="top"/>
      <protection hidden="1"/>
    </xf>
    <xf numFmtId="164" fontId="3" fillId="38" borderId="14" xfId="44" applyNumberFormat="1" applyFont="1" applyFill="1" applyBorder="1" applyAlignment="1" applyProtection="1">
      <alignment/>
      <protection hidden="1" locked="0"/>
    </xf>
    <xf numFmtId="0" fontId="3" fillId="0" borderId="17" xfId="56" applyFont="1" applyBorder="1" applyProtection="1">
      <alignment/>
      <protection hidden="1"/>
    </xf>
    <xf numFmtId="0" fontId="3" fillId="0" borderId="33" xfId="56" applyFont="1" applyBorder="1" applyProtection="1">
      <alignment/>
      <protection hidden="1"/>
    </xf>
    <xf numFmtId="1" fontId="3" fillId="39" borderId="15" xfId="44" applyNumberFormat="1" applyFont="1" applyFill="1" applyBorder="1" applyAlignment="1" applyProtection="1">
      <alignment/>
      <protection hidden="1" locked="0"/>
    </xf>
    <xf numFmtId="0" fontId="6" fillId="0" borderId="10" xfId="56" applyFont="1" applyBorder="1" applyProtection="1">
      <alignment/>
      <protection hidden="1"/>
    </xf>
    <xf numFmtId="0" fontId="3" fillId="40" borderId="0" xfId="0" applyFont="1" applyFill="1" applyBorder="1" applyAlignment="1" applyProtection="1">
      <alignment vertical="top" wrapText="1"/>
      <protection hidden="1"/>
    </xf>
    <xf numFmtId="0" fontId="3" fillId="0" borderId="22" xfId="56" applyFont="1" applyBorder="1" applyAlignment="1" applyProtection="1">
      <alignment/>
      <protection hidden="1"/>
    </xf>
    <xf numFmtId="0" fontId="3" fillId="0" borderId="34" xfId="56" applyFont="1" applyBorder="1" applyAlignment="1" applyProtection="1">
      <alignment/>
      <protection hidden="1"/>
    </xf>
    <xf numFmtId="0" fontId="3" fillId="0" borderId="23" xfId="56" applyFont="1" applyBorder="1" applyAlignment="1" applyProtection="1">
      <alignment/>
      <protection hidden="1"/>
    </xf>
    <xf numFmtId="0" fontId="6" fillId="0" borderId="10" xfId="56" applyFont="1" applyBorder="1" applyAlignment="1" applyProtection="1">
      <alignment/>
      <protection hidden="1"/>
    </xf>
    <xf numFmtId="0" fontId="3" fillId="0" borderId="0" xfId="56" applyFont="1" applyBorder="1" applyAlignment="1" applyProtection="1">
      <alignment/>
      <protection hidden="1"/>
    </xf>
    <xf numFmtId="0" fontId="3" fillId="0" borderId="11" xfId="56" applyFont="1" applyBorder="1" applyAlignment="1" applyProtection="1">
      <alignment/>
      <protection hidden="1"/>
    </xf>
    <xf numFmtId="0" fontId="6" fillId="0" borderId="10" xfId="56" applyFont="1" applyBorder="1" applyAlignment="1" applyProtection="1">
      <alignment horizontal="left"/>
      <protection hidden="1"/>
    </xf>
    <xf numFmtId="0" fontId="3" fillId="0" borderId="0" xfId="56" applyFont="1" applyBorder="1" applyAlignment="1" applyProtection="1">
      <alignment horizontal="left"/>
      <protection hidden="1"/>
    </xf>
    <xf numFmtId="0" fontId="3" fillId="0" borderId="11" xfId="56" applyFont="1" applyBorder="1" applyAlignment="1" applyProtection="1">
      <alignment horizontal="left"/>
      <protection hidden="1"/>
    </xf>
    <xf numFmtId="0" fontId="3" fillId="0" borderId="10" xfId="56" applyFont="1" applyBorder="1" applyAlignment="1" applyProtection="1">
      <alignment horizontal="left"/>
      <protection hidden="1"/>
    </xf>
    <xf numFmtId="0" fontId="6" fillId="0" borderId="17" xfId="56" applyFont="1" applyFill="1" applyBorder="1" applyAlignment="1" applyProtection="1">
      <alignment horizontal="left"/>
      <protection hidden="1"/>
    </xf>
    <xf numFmtId="0" fontId="6" fillId="0" borderId="18" xfId="56" applyFont="1" applyFill="1" applyBorder="1" applyAlignment="1" applyProtection="1">
      <alignment horizontal="left"/>
      <protection hidden="1"/>
    </xf>
    <xf numFmtId="0" fontId="3" fillId="0" borderId="0" xfId="56" applyFont="1" applyFill="1" applyBorder="1" applyAlignment="1" applyProtection="1">
      <alignment horizontal="center" wrapText="1"/>
      <protection hidden="1"/>
    </xf>
    <xf numFmtId="0" fontId="3" fillId="0" borderId="35" xfId="56" applyFont="1" applyFill="1" applyBorder="1" applyAlignment="1" applyProtection="1">
      <alignment horizontal="center" wrapText="1"/>
      <protection hidden="1"/>
    </xf>
    <xf numFmtId="0" fontId="3" fillId="0" borderId="10" xfId="56" applyFont="1" applyFill="1" applyBorder="1" applyAlignment="1" applyProtection="1">
      <alignment horizontal="left" vertical="top" wrapText="1"/>
      <protection hidden="1"/>
    </xf>
    <xf numFmtId="0" fontId="3" fillId="0" borderId="0" xfId="56" applyFont="1" applyFill="1" applyBorder="1" applyAlignment="1" applyProtection="1">
      <alignment horizontal="left" vertical="top" wrapText="1"/>
      <protection hidden="1"/>
    </xf>
    <xf numFmtId="0" fontId="3" fillId="0" borderId="11" xfId="56" applyFont="1" applyFill="1" applyBorder="1" applyAlignment="1" applyProtection="1">
      <alignment horizontal="left" vertical="top" wrapText="1"/>
      <protection hidden="1"/>
    </xf>
    <xf numFmtId="0" fontId="6" fillId="0" borderId="36" xfId="56" applyFont="1" applyFill="1" applyBorder="1" applyAlignment="1" applyProtection="1">
      <alignment horizontal="center"/>
      <protection hidden="1"/>
    </xf>
    <xf numFmtId="0" fontId="6" fillId="0" borderId="37" xfId="56" applyFont="1" applyFill="1" applyBorder="1" applyAlignment="1" applyProtection="1">
      <alignment horizontal="center"/>
      <protection hidden="1"/>
    </xf>
    <xf numFmtId="0" fontId="6" fillId="0" borderId="38" xfId="56" applyFont="1" applyFill="1" applyBorder="1" applyAlignment="1" applyProtection="1">
      <alignment horizontal="center"/>
      <protection hidden="1"/>
    </xf>
    <xf numFmtId="0" fontId="71" fillId="0" borderId="10" xfId="56" applyFont="1" applyFill="1" applyBorder="1" applyAlignment="1" applyProtection="1">
      <alignment horizontal="left" vertical="top" wrapText="1"/>
      <protection hidden="1"/>
    </xf>
    <xf numFmtId="0" fontId="71" fillId="0" borderId="0" xfId="56" applyFont="1" applyFill="1" applyBorder="1" applyAlignment="1" applyProtection="1">
      <alignment horizontal="left" vertical="top" wrapText="1"/>
      <protection hidden="1"/>
    </xf>
    <xf numFmtId="0" fontId="71" fillId="0" borderId="11" xfId="56" applyFont="1" applyFill="1" applyBorder="1" applyAlignment="1" applyProtection="1">
      <alignment horizontal="left" vertical="top" wrapText="1"/>
      <protection hidden="1"/>
    </xf>
    <xf numFmtId="0" fontId="71" fillId="0" borderId="10" xfId="56" applyFont="1" applyFill="1" applyBorder="1" applyAlignment="1" applyProtection="1">
      <alignment horizontal="center" vertical="top" wrapText="1"/>
      <protection hidden="1"/>
    </xf>
    <xf numFmtId="0" fontId="71" fillId="0" borderId="0" xfId="56" applyFont="1" applyFill="1" applyBorder="1" applyAlignment="1" applyProtection="1">
      <alignment horizontal="center" vertical="top" wrapText="1"/>
      <protection hidden="1"/>
    </xf>
    <xf numFmtId="0" fontId="71" fillId="0" borderId="11" xfId="56" applyFont="1" applyFill="1" applyBorder="1" applyAlignment="1" applyProtection="1">
      <alignment horizontal="center" vertical="top" wrapText="1"/>
      <protection hidden="1"/>
    </xf>
    <xf numFmtId="0" fontId="3" fillId="0" borderId="39" xfId="56" applyFont="1" applyBorder="1" applyAlignment="1" applyProtection="1">
      <alignment horizontal="left"/>
      <protection hidden="1"/>
    </xf>
    <xf numFmtId="0" fontId="6" fillId="0" borderId="40" xfId="56" applyFont="1" applyBorder="1" applyAlignment="1" applyProtection="1">
      <alignment horizontal="center"/>
      <protection hidden="1"/>
    </xf>
    <xf numFmtId="0" fontId="6" fillId="0" borderId="41" xfId="56" applyFont="1" applyBorder="1" applyAlignment="1" applyProtection="1">
      <alignment horizontal="center"/>
      <protection hidden="1"/>
    </xf>
    <xf numFmtId="0" fontId="6" fillId="0" borderId="42" xfId="56" applyFont="1" applyBorder="1" applyAlignment="1" applyProtection="1">
      <alignment horizontal="center"/>
      <protection hidden="1"/>
    </xf>
    <xf numFmtId="0" fontId="63" fillId="0" borderId="0" xfId="0" applyFont="1" applyBorder="1" applyAlignment="1">
      <alignment horizontal="left"/>
    </xf>
    <xf numFmtId="0" fontId="63" fillId="34" borderId="17" xfId="0" applyFont="1" applyFill="1" applyBorder="1" applyAlignment="1">
      <alignment horizontal="left"/>
    </xf>
    <xf numFmtId="0" fontId="63" fillId="34" borderId="18" xfId="0" applyFont="1" applyFill="1" applyBorder="1" applyAlignment="1">
      <alignment horizontal="left"/>
    </xf>
    <xf numFmtId="0" fontId="63" fillId="34" borderId="43" xfId="0" applyFont="1" applyFill="1" applyBorder="1" applyAlignment="1">
      <alignment horizontal="left"/>
    </xf>
    <xf numFmtId="0" fontId="63" fillId="0" borderId="12" xfId="0" applyFont="1" applyBorder="1" applyAlignment="1">
      <alignment horizontal="left"/>
    </xf>
    <xf numFmtId="0" fontId="63" fillId="0" borderId="17" xfId="0" applyFont="1" applyBorder="1" applyAlignment="1">
      <alignment horizontal="left" wrapText="1"/>
    </xf>
    <xf numFmtId="0" fontId="63" fillId="0" borderId="18" xfId="0" applyFont="1" applyBorder="1" applyAlignment="1">
      <alignment horizontal="left" wrapText="1"/>
    </xf>
    <xf numFmtId="0" fontId="63" fillId="0" borderId="43" xfId="0" applyFont="1" applyBorder="1" applyAlignment="1">
      <alignment horizontal="left" wrapText="1"/>
    </xf>
    <xf numFmtId="0" fontId="63" fillId="0" borderId="17" xfId="0" applyFont="1" applyBorder="1" applyAlignment="1">
      <alignment horizontal="center" wrapText="1"/>
    </xf>
    <xf numFmtId="0" fontId="63" fillId="0" borderId="18" xfId="0" applyFont="1" applyBorder="1" applyAlignment="1">
      <alignment horizontal="center" wrapText="1"/>
    </xf>
    <xf numFmtId="0" fontId="63" fillId="0" borderId="17" xfId="0" applyFont="1" applyBorder="1" applyAlignment="1">
      <alignment horizontal="left"/>
    </xf>
    <xf numFmtId="0" fontId="63" fillId="0" borderId="43" xfId="0" applyFont="1" applyBorder="1" applyAlignment="1">
      <alignment horizontal="left"/>
    </xf>
    <xf numFmtId="0" fontId="3" fillId="0" borderId="12" xfId="56" applyFont="1" applyBorder="1" applyAlignment="1" applyProtection="1">
      <alignment horizontal="left"/>
      <protection hidden="1"/>
    </xf>
    <xf numFmtId="0" fontId="63" fillId="34" borderId="44" xfId="0" applyFont="1" applyFill="1" applyBorder="1" applyAlignment="1">
      <alignment horizontal="left"/>
    </xf>
    <xf numFmtId="0" fontId="63" fillId="34" borderId="45" xfId="0" applyFont="1" applyFill="1" applyBorder="1" applyAlignment="1">
      <alignment horizontal="left"/>
    </xf>
    <xf numFmtId="0" fontId="63" fillId="34" borderId="46" xfId="0" applyFont="1" applyFill="1" applyBorder="1" applyAlignment="1">
      <alignment horizontal="left"/>
    </xf>
    <xf numFmtId="0" fontId="3" fillId="0" borderId="17" xfId="56" applyFont="1" applyFill="1" applyBorder="1" applyAlignment="1" applyProtection="1">
      <alignment horizontal="left"/>
      <protection hidden="1"/>
    </xf>
    <xf numFmtId="0" fontId="3" fillId="0" borderId="43" xfId="56" applyFont="1" applyFill="1" applyBorder="1" applyAlignment="1" applyProtection="1">
      <alignment horizontal="left"/>
      <protection hidden="1"/>
    </xf>
    <xf numFmtId="0" fontId="3" fillId="0" borderId="12" xfId="56" applyFont="1" applyFill="1" applyBorder="1" applyAlignment="1" applyProtection="1">
      <alignment horizontal="left"/>
      <protection hidden="1"/>
    </xf>
    <xf numFmtId="0" fontId="3" fillId="0" borderId="17" xfId="56" applyFont="1" applyBorder="1" applyAlignment="1" applyProtection="1">
      <alignment horizontal="center"/>
      <protection hidden="1"/>
    </xf>
    <xf numFmtId="0" fontId="3" fillId="0" borderId="18" xfId="56" applyFont="1" applyBorder="1" applyAlignment="1" applyProtection="1">
      <alignment horizontal="center"/>
      <protection hidden="1"/>
    </xf>
    <xf numFmtId="0" fontId="3" fillId="0" borderId="43" xfId="56" applyFont="1" applyBorder="1" applyAlignment="1" applyProtection="1">
      <alignment horizontal="center"/>
      <protection hidden="1"/>
    </xf>
    <xf numFmtId="0" fontId="3" fillId="0" borderId="17" xfId="56" applyFont="1" applyBorder="1" applyAlignment="1" applyProtection="1">
      <alignment horizontal="left"/>
      <protection hidden="1"/>
    </xf>
    <xf numFmtId="0" fontId="3" fillId="0" borderId="43" xfId="56" applyFont="1" applyBorder="1" applyAlignment="1" applyProtection="1">
      <alignment horizontal="left"/>
      <protection hidden="1"/>
    </xf>
    <xf numFmtId="0" fontId="3" fillId="0" borderId="18" xfId="56" applyFont="1" applyBorder="1" applyAlignment="1" applyProtection="1">
      <alignment horizontal="left"/>
      <protection hidden="1"/>
    </xf>
    <xf numFmtId="0" fontId="3" fillId="0" borderId="0" xfId="56" applyFont="1" applyBorder="1" applyAlignment="1" applyProtection="1">
      <alignment horizontal="center"/>
      <protection hidden="1"/>
    </xf>
    <xf numFmtId="0" fontId="3" fillId="0" borderId="33" xfId="56" applyFont="1" applyBorder="1" applyAlignment="1" applyProtection="1">
      <alignment horizontal="left"/>
      <protection hidden="1"/>
    </xf>
    <xf numFmtId="0" fontId="3" fillId="0" borderId="47" xfId="56" applyFont="1" applyBorder="1" applyAlignment="1" applyProtection="1">
      <alignment horizontal="left"/>
      <protection hidden="1"/>
    </xf>
    <xf numFmtId="0" fontId="3" fillId="0" borderId="12" xfId="56" applyFont="1" applyBorder="1" applyAlignment="1" applyProtection="1">
      <alignment horizontal="center"/>
      <protection hidden="1"/>
    </xf>
    <xf numFmtId="0" fontId="3" fillId="0" borderId="36" xfId="56" applyFont="1" applyFill="1" applyBorder="1" applyAlignment="1" applyProtection="1">
      <alignment horizontal="left"/>
      <protection hidden="1"/>
    </xf>
    <xf numFmtId="0" fontId="3" fillId="0" borderId="37" xfId="56" applyFont="1" applyFill="1" applyBorder="1" applyAlignment="1" applyProtection="1">
      <alignment horizontal="left"/>
      <protection hidden="1"/>
    </xf>
    <xf numFmtId="0" fontId="3" fillId="0" borderId="38" xfId="56" applyFont="1" applyFill="1" applyBorder="1" applyAlignment="1" applyProtection="1">
      <alignment horizontal="left"/>
      <protection hidden="1"/>
    </xf>
    <xf numFmtId="164" fontId="3" fillId="2" borderId="14" xfId="44" applyNumberFormat="1" applyFont="1" applyFill="1" applyBorder="1" applyAlignment="1" applyProtection="1">
      <alignment/>
      <protection hidden="1" locked="0"/>
    </xf>
    <xf numFmtId="164" fontId="3" fillId="2" borderId="14" xfId="44" applyNumberFormat="1" applyFont="1" applyFill="1" applyBorder="1" applyAlignment="1" applyProtection="1">
      <alignment horizontal="center"/>
      <protection hidden="1" locked="0"/>
    </xf>
    <xf numFmtId="164" fontId="3" fillId="2" borderId="32" xfId="44" applyNumberFormat="1" applyFont="1" applyFill="1" applyBorder="1" applyAlignment="1" applyProtection="1">
      <alignment horizontal="center"/>
      <protection hidden="1" locked="0"/>
    </xf>
    <xf numFmtId="0" fontId="63" fillId="38" borderId="12" xfId="0" applyFont="1" applyFill="1" applyBorder="1" applyAlignment="1" applyProtection="1">
      <alignment/>
      <protection locked="0"/>
    </xf>
    <xf numFmtId="164" fontId="63" fillId="38" borderId="12" xfId="42" applyNumberFormat="1" applyFont="1" applyFill="1" applyBorder="1" applyAlignment="1" applyProtection="1">
      <alignment/>
      <protection locked="0"/>
    </xf>
    <xf numFmtId="0" fontId="63" fillId="38" borderId="13" xfId="0" applyFont="1" applyFill="1" applyBorder="1" applyAlignment="1" applyProtection="1">
      <alignment/>
      <protection locked="0"/>
    </xf>
    <xf numFmtId="164" fontId="63" fillId="39" borderId="12" xfId="42" applyNumberFormat="1" applyFont="1" applyFill="1" applyBorder="1" applyAlignment="1" applyProtection="1">
      <alignment/>
      <protection locked="0"/>
    </xf>
    <xf numFmtId="164" fontId="63" fillId="38" borderId="21" xfId="42" applyNumberFormat="1" applyFont="1" applyFill="1" applyBorder="1" applyAlignment="1" applyProtection="1">
      <alignment wrapText="1"/>
      <protection locked="0"/>
    </xf>
    <xf numFmtId="164" fontId="3" fillId="39" borderId="12" xfId="42" applyNumberFormat="1" applyFont="1" applyFill="1" applyBorder="1" applyAlignment="1" applyProtection="1">
      <alignment/>
      <protection locked="0"/>
    </xf>
    <xf numFmtId="43" fontId="3" fillId="39" borderId="12" xfId="42" applyNumberFormat="1" applyFont="1" applyFill="1" applyBorder="1" applyAlignment="1" applyProtection="1">
      <alignment/>
      <protection locked="0"/>
    </xf>
    <xf numFmtId="164" fontId="3" fillId="38" borderId="12" xfId="42" applyNumberFormat="1" applyFont="1" applyFill="1" applyBorder="1" applyAlignment="1" applyProtection="1">
      <alignment/>
      <protection locked="0"/>
    </xf>
    <xf numFmtId="164" fontId="3" fillId="39" borderId="39" xfId="42" applyNumberFormat="1" applyFont="1" applyFill="1" applyBorder="1" applyAlignment="1" applyProtection="1">
      <alignment/>
      <protection locked="0"/>
    </xf>
    <xf numFmtId="164" fontId="63" fillId="35" borderId="12" xfId="42" applyNumberFormat="1" applyFont="1" applyFill="1" applyBorder="1" applyAlignment="1" applyProtection="1">
      <alignment/>
      <protection hidden="1"/>
    </xf>
    <xf numFmtId="164" fontId="3" fillId="35" borderId="12" xfId="42" applyNumberFormat="1" applyFont="1" applyFill="1" applyBorder="1" applyAlignment="1" applyProtection="1">
      <alignment/>
      <protection/>
    </xf>
    <xf numFmtId="0" fontId="63" fillId="38" borderId="12" xfId="0" applyFont="1" applyFill="1" applyBorder="1" applyAlignment="1" applyProtection="1">
      <alignment wrapText="1"/>
      <protection locked="0"/>
    </xf>
    <xf numFmtId="0" fontId="63" fillId="38" borderId="12" xfId="0" applyFont="1" applyFill="1" applyBorder="1" applyAlignment="1" applyProtection="1">
      <alignment/>
      <protection locked="0"/>
    </xf>
    <xf numFmtId="164" fontId="63" fillId="39" borderId="17" xfId="42" applyNumberFormat="1" applyFont="1" applyFill="1" applyBorder="1" applyAlignment="1" applyProtection="1">
      <alignment/>
      <protection locked="0"/>
    </xf>
    <xf numFmtId="0" fontId="3" fillId="38" borderId="12" xfId="56" applyFont="1" applyFill="1" applyBorder="1" applyProtection="1">
      <alignment/>
      <protection locked="0"/>
    </xf>
    <xf numFmtId="0" fontId="3" fillId="39" borderId="12" xfId="56" applyFont="1" applyFill="1" applyBorder="1" applyAlignment="1" applyProtection="1">
      <alignment/>
      <protection locked="0"/>
    </xf>
    <xf numFmtId="0" fontId="3" fillId="39" borderId="12" xfId="56" applyFont="1" applyFill="1" applyBorder="1" applyProtection="1">
      <alignment/>
      <protection locked="0"/>
    </xf>
    <xf numFmtId="0" fontId="3" fillId="38" borderId="39" xfId="56" applyFont="1" applyFill="1" applyBorder="1" applyProtection="1">
      <alignment/>
      <protection locked="0"/>
    </xf>
    <xf numFmtId="164" fontId="3" fillId="39" borderId="13" xfId="42" applyNumberFormat="1" applyFont="1" applyFill="1" applyBorder="1" applyAlignment="1" applyProtection="1">
      <alignment/>
      <protection locked="0"/>
    </xf>
    <xf numFmtId="164" fontId="3" fillId="39" borderId="15" xfId="42" applyNumberFormat="1" applyFont="1" applyFill="1" applyBorder="1" applyAlignment="1" applyProtection="1">
      <alignment/>
      <protection locked="0"/>
    </xf>
    <xf numFmtId="164" fontId="3" fillId="38" borderId="48" xfId="44" applyNumberFormat="1" applyFont="1" applyFill="1" applyBorder="1" applyAlignment="1" applyProtection="1">
      <alignment/>
      <protection hidden="1"/>
    </xf>
    <xf numFmtId="10" fontId="3" fillId="2" borderId="14" xfId="56" applyNumberFormat="1" applyFont="1" applyFill="1" applyBorder="1" applyAlignment="1" applyProtection="1">
      <alignment horizontal="center"/>
      <protection hidden="1"/>
    </xf>
    <xf numFmtId="0" fontId="69" fillId="0" borderId="0" xfId="0" applyFont="1" applyAlignment="1" applyProtection="1">
      <alignment/>
      <protection hidden="1" locked="0"/>
    </xf>
    <xf numFmtId="0" fontId="68" fillId="0" borderId="0" xfId="0" applyFont="1" applyAlignment="1" applyProtection="1">
      <alignment/>
      <protection hidden="1" locked="0"/>
    </xf>
    <xf numFmtId="0" fontId="68" fillId="16" borderId="29" xfId="0" applyFont="1" applyFill="1" applyBorder="1" applyAlignment="1" applyProtection="1">
      <alignment/>
      <protection hidden="1" locked="0"/>
    </xf>
    <xf numFmtId="0" fontId="68" fillId="16" borderId="30" xfId="0" applyFont="1" applyFill="1" applyBorder="1" applyAlignment="1" applyProtection="1">
      <alignment/>
      <protection hidden="1" locked="0"/>
    </xf>
    <xf numFmtId="0" fontId="68" fillId="16" borderId="31" xfId="0" applyFont="1" applyFill="1" applyBorder="1" applyAlignment="1" applyProtection="1">
      <alignment/>
      <protection hidden="1" locked="0"/>
    </xf>
    <xf numFmtId="0" fontId="68" fillId="0" borderId="24" xfId="0" applyFont="1" applyFill="1" applyBorder="1" applyAlignment="1" applyProtection="1">
      <alignment/>
      <protection hidden="1" locked="0"/>
    </xf>
    <xf numFmtId="0" fontId="68" fillId="0" borderId="14" xfId="0" applyFont="1" applyFill="1" applyBorder="1" applyAlignment="1" applyProtection="1">
      <alignment/>
      <protection hidden="1" locked="0"/>
    </xf>
    <xf numFmtId="0" fontId="70" fillId="0" borderId="14" xfId="0" applyFont="1" applyFill="1" applyBorder="1" applyAlignment="1" applyProtection="1">
      <alignment/>
      <protection hidden="1" locked="0"/>
    </xf>
    <xf numFmtId="0" fontId="70" fillId="0" borderId="25" xfId="0" applyFont="1" applyFill="1" applyBorder="1" applyAlignment="1" applyProtection="1">
      <alignment/>
      <protection hidden="1" locked="0"/>
    </xf>
    <xf numFmtId="0" fontId="68" fillId="0" borderId="24" xfId="0" applyFont="1" applyBorder="1" applyAlignment="1" applyProtection="1">
      <alignment/>
      <protection hidden="1" locked="0"/>
    </xf>
    <xf numFmtId="164" fontId="68" fillId="0" borderId="14" xfId="42" applyNumberFormat="1" applyFont="1" applyBorder="1" applyAlignment="1" applyProtection="1">
      <alignment/>
      <protection hidden="1" locked="0"/>
    </xf>
    <xf numFmtId="43" fontId="68" fillId="0" borderId="14" xfId="0" applyNumberFormat="1" applyFont="1" applyBorder="1" applyAlignment="1" applyProtection="1">
      <alignment/>
      <protection hidden="1" locked="0"/>
    </xf>
    <xf numFmtId="43" fontId="68" fillId="0" borderId="25" xfId="0" applyNumberFormat="1" applyFont="1" applyBorder="1" applyAlignment="1" applyProtection="1">
      <alignment/>
      <protection hidden="1" locked="0"/>
    </xf>
    <xf numFmtId="0" fontId="68" fillId="0" borderId="26" xfId="0" applyFont="1" applyBorder="1" applyAlignment="1" applyProtection="1">
      <alignment/>
      <protection hidden="1" locked="0"/>
    </xf>
    <xf numFmtId="164" fontId="68" fillId="0" borderId="27" xfId="42" applyNumberFormat="1" applyFont="1" applyBorder="1" applyAlignment="1" applyProtection="1">
      <alignment/>
      <protection hidden="1" locked="0"/>
    </xf>
    <xf numFmtId="43" fontId="68" fillId="0" borderId="27" xfId="0" applyNumberFormat="1" applyFont="1" applyBorder="1" applyAlignment="1" applyProtection="1">
      <alignment/>
      <protection hidden="1" locked="0"/>
    </xf>
    <xf numFmtId="43" fontId="68" fillId="0" borderId="28" xfId="0" applyNumberFormat="1" applyFont="1" applyBorder="1" applyAlignment="1" applyProtection="1">
      <alignment/>
      <protection hidden="1" locked="0"/>
    </xf>
    <xf numFmtId="0" fontId="68" fillId="16" borderId="49" xfId="0" applyFont="1" applyFill="1" applyBorder="1" applyAlignment="1" applyProtection="1">
      <alignment/>
      <protection hidden="1" locked="0"/>
    </xf>
    <xf numFmtId="0" fontId="68" fillId="16" borderId="50" xfId="0" applyFont="1" applyFill="1" applyBorder="1" applyAlignment="1" applyProtection="1">
      <alignment/>
      <protection hidden="1" locked="0"/>
    </xf>
    <xf numFmtId="0" fontId="68" fillId="16" borderId="51" xfId="0" applyFont="1" applyFill="1" applyBorder="1" applyAlignment="1" applyProtection="1">
      <alignment/>
      <protection hidden="1" locked="0"/>
    </xf>
    <xf numFmtId="0" fontId="70" fillId="0" borderId="52" xfId="0" applyFont="1" applyFill="1" applyBorder="1" applyAlignment="1" applyProtection="1">
      <alignment/>
      <protection hidden="1" locked="0"/>
    </xf>
    <xf numFmtId="0" fontId="68" fillId="0" borderId="53" xfId="0" applyFont="1" applyFill="1" applyBorder="1" applyAlignment="1" applyProtection="1">
      <alignment/>
      <protection hidden="1" locked="0"/>
    </xf>
    <xf numFmtId="0" fontId="68" fillId="0" borderId="54" xfId="0" applyFont="1" applyFill="1" applyBorder="1" applyAlignment="1" applyProtection="1">
      <alignment/>
      <protection hidden="1" locked="0"/>
    </xf>
    <xf numFmtId="0" fontId="68" fillId="0" borderId="55" xfId="0" applyFont="1" applyFill="1" applyBorder="1" applyAlignment="1" applyProtection="1">
      <alignment/>
      <protection hidden="1" locked="0"/>
    </xf>
    <xf numFmtId="0" fontId="68" fillId="0" borderId="56" xfId="0" applyFont="1" applyFill="1" applyBorder="1" applyAlignment="1" applyProtection="1">
      <alignment/>
      <protection hidden="1" locked="0"/>
    </xf>
    <xf numFmtId="0" fontId="68" fillId="0" borderId="57" xfId="0" applyFont="1" applyFill="1" applyBorder="1" applyAlignment="1" applyProtection="1">
      <alignment/>
      <protection hidden="1" locked="0"/>
    </xf>
    <xf numFmtId="0" fontId="68" fillId="0" borderId="58" xfId="0" applyFont="1" applyFill="1" applyBorder="1" applyAlignment="1" applyProtection="1">
      <alignment/>
      <protection hidden="1" locked="0"/>
    </xf>
    <xf numFmtId="0" fontId="68" fillId="0" borderId="59" xfId="0" applyFont="1" applyFill="1" applyBorder="1" applyAlignment="1" applyProtection="1">
      <alignment/>
      <protection hidden="1" locked="0"/>
    </xf>
    <xf numFmtId="43" fontId="70" fillId="0" borderId="14" xfId="42" applyFont="1" applyFill="1" applyBorder="1" applyAlignment="1" applyProtection="1">
      <alignment/>
      <protection hidden="1" locked="0"/>
    </xf>
    <xf numFmtId="43" fontId="68" fillId="0" borderId="25" xfId="0" applyNumberFormat="1" applyFont="1" applyFill="1" applyBorder="1" applyAlignment="1" applyProtection="1">
      <alignment/>
      <protection hidden="1" locked="0"/>
    </xf>
    <xf numFmtId="0" fontId="70" fillId="0" borderId="57" xfId="0" applyFont="1" applyFill="1" applyBorder="1" applyAlignment="1" applyProtection="1">
      <alignment/>
      <protection hidden="1" locked="0"/>
    </xf>
    <xf numFmtId="0" fontId="68" fillId="0" borderId="57" xfId="0" applyFont="1" applyFill="1" applyBorder="1" applyAlignment="1" applyProtection="1">
      <alignment horizontal="left" indent="1"/>
      <protection hidden="1" locked="0"/>
    </xf>
    <xf numFmtId="0" fontId="68" fillId="0" borderId="57" xfId="0" applyFont="1" applyBorder="1" applyAlignment="1" applyProtection="1">
      <alignment/>
      <protection hidden="1" locked="0"/>
    </xf>
    <xf numFmtId="164" fontId="68" fillId="0" borderId="58" xfId="42" applyNumberFormat="1" applyFont="1" applyBorder="1" applyAlignment="1" applyProtection="1">
      <alignment/>
      <protection hidden="1" locked="0"/>
    </xf>
    <xf numFmtId="164" fontId="68" fillId="0" borderId="59" xfId="42" applyNumberFormat="1" applyFont="1" applyBorder="1" applyAlignment="1" applyProtection="1">
      <alignment/>
      <protection hidden="1" locked="0"/>
    </xf>
    <xf numFmtId="0" fontId="68" fillId="0" borderId="60" xfId="0" applyFont="1" applyBorder="1" applyAlignment="1" applyProtection="1">
      <alignment/>
      <protection hidden="1" locked="0"/>
    </xf>
    <xf numFmtId="164" fontId="68" fillId="0" borderId="61" xfId="42" applyNumberFormat="1" applyFont="1" applyBorder="1" applyAlignment="1" applyProtection="1">
      <alignment/>
      <protection hidden="1" locked="0"/>
    </xf>
    <xf numFmtId="164" fontId="68" fillId="0" borderId="62" xfId="42" applyNumberFormat="1" applyFont="1" applyBorder="1" applyAlignment="1" applyProtection="1">
      <alignment/>
      <protection hidden="1" locked="0"/>
    </xf>
    <xf numFmtId="43" fontId="70" fillId="0" borderId="27" xfId="42" applyFont="1" applyBorder="1" applyAlignment="1" applyProtection="1">
      <alignment/>
      <protection hidden="1" locked="0"/>
    </xf>
    <xf numFmtId="0" fontId="68" fillId="0" borderId="25" xfId="0" applyFont="1" applyFill="1" applyBorder="1" applyAlignment="1" applyProtection="1">
      <alignment/>
      <protection hidden="1" locked="0"/>
    </xf>
    <xf numFmtId="164" fontId="70" fillId="0" borderId="14" xfId="42" applyNumberFormat="1" applyFont="1" applyFill="1" applyBorder="1" applyAlignment="1" applyProtection="1">
      <alignment/>
      <protection hidden="1" locked="0"/>
    </xf>
    <xf numFmtId="43" fontId="68" fillId="0" borderId="25" xfId="42" applyFont="1" applyFill="1" applyBorder="1" applyAlignment="1" applyProtection="1">
      <alignment/>
      <protection hidden="1" locked="0"/>
    </xf>
    <xf numFmtId="164" fontId="68" fillId="0" borderId="14" xfId="42" applyNumberFormat="1" applyFont="1" applyFill="1" applyBorder="1" applyAlignment="1" applyProtection="1">
      <alignment/>
      <protection hidden="1" locked="0"/>
    </xf>
    <xf numFmtId="43" fontId="68" fillId="0" borderId="57" xfId="0" applyNumberFormat="1" applyFont="1" applyFill="1" applyBorder="1" applyAlignment="1" applyProtection="1">
      <alignment horizontal="left" indent="1"/>
      <protection hidden="1" locked="0"/>
    </xf>
    <xf numFmtId="0" fontId="68" fillId="0" borderId="57" xfId="0" applyFont="1" applyBorder="1" applyAlignment="1" applyProtection="1">
      <alignment horizontal="left" indent="1"/>
      <protection hidden="1" locked="0"/>
    </xf>
    <xf numFmtId="164" fontId="70" fillId="0" borderId="14" xfId="42" applyNumberFormat="1" applyFont="1" applyBorder="1" applyAlignment="1" applyProtection="1">
      <alignment/>
      <protection hidden="1" locked="0"/>
    </xf>
    <xf numFmtId="43" fontId="70" fillId="0" borderId="25" xfId="42" applyFont="1" applyBorder="1" applyAlignment="1" applyProtection="1">
      <alignment/>
      <protection hidden="1" locked="0"/>
    </xf>
    <xf numFmtId="0" fontId="68" fillId="0" borderId="58" xfId="0" applyFont="1" applyBorder="1" applyAlignment="1" applyProtection="1">
      <alignment/>
      <protection hidden="1" locked="0"/>
    </xf>
    <xf numFmtId="0" fontId="68" fillId="0" borderId="59" xfId="0" applyFont="1" applyBorder="1" applyAlignment="1" applyProtection="1">
      <alignment/>
      <protection hidden="1" locked="0"/>
    </xf>
    <xf numFmtId="0" fontId="68" fillId="0" borderId="14" xfId="0" applyFont="1" applyBorder="1" applyAlignment="1" applyProtection="1">
      <alignment/>
      <protection hidden="1" locked="0"/>
    </xf>
    <xf numFmtId="43" fontId="68" fillId="0" borderId="25" xfId="42" applyFont="1" applyBorder="1" applyAlignment="1" applyProtection="1">
      <alignment/>
      <protection hidden="1" locked="0"/>
    </xf>
    <xf numFmtId="0" fontId="68" fillId="0" borderId="60" xfId="0" applyFont="1" applyBorder="1" applyAlignment="1" applyProtection="1">
      <alignment horizontal="left" indent="1"/>
      <protection hidden="1" locked="0"/>
    </xf>
    <xf numFmtId="0" fontId="68" fillId="0" borderId="61" xfId="0" applyFont="1" applyBorder="1" applyAlignment="1" applyProtection="1">
      <alignment/>
      <protection hidden="1" locked="0"/>
    </xf>
    <xf numFmtId="0" fontId="68" fillId="0" borderId="62" xfId="0" applyFont="1" applyBorder="1" applyAlignment="1" applyProtection="1">
      <alignment/>
      <protection hidden="1" locked="0"/>
    </xf>
    <xf numFmtId="0" fontId="68" fillId="0" borderId="27" xfId="0" applyFont="1" applyBorder="1" applyAlignment="1" applyProtection="1">
      <alignment/>
      <protection hidden="1" locked="0"/>
    </xf>
    <xf numFmtId="43" fontId="68" fillId="0" borderId="28" xfId="42" applyFont="1" applyBorder="1" applyAlignment="1" applyProtection="1">
      <alignment/>
      <protection hidden="1" locked="0"/>
    </xf>
    <xf numFmtId="164" fontId="68" fillId="0" borderId="25" xfId="0" applyNumberFormat="1" applyFont="1" applyFill="1" applyBorder="1" applyAlignment="1" applyProtection="1">
      <alignment/>
      <protection hidden="1" locked="0"/>
    </xf>
    <xf numFmtId="164" fontId="68" fillId="0" borderId="25" xfId="42" applyNumberFormat="1" applyFont="1" applyFill="1" applyBorder="1" applyAlignment="1" applyProtection="1">
      <alignment/>
      <protection hidden="1" locked="0"/>
    </xf>
    <xf numFmtId="43" fontId="68" fillId="0" borderId="25" xfId="42" applyNumberFormat="1" applyFont="1" applyFill="1" applyBorder="1" applyAlignment="1" applyProtection="1">
      <alignment/>
      <protection hidden="1" locked="0"/>
    </xf>
    <xf numFmtId="0" fontId="68" fillId="0" borderId="60" xfId="0" applyFont="1" applyFill="1" applyBorder="1" applyAlignment="1" applyProtection="1">
      <alignment/>
      <protection hidden="1" locked="0"/>
    </xf>
    <xf numFmtId="0" fontId="68" fillId="0" borderId="61" xfId="0" applyFont="1" applyFill="1" applyBorder="1" applyAlignment="1" applyProtection="1">
      <alignment/>
      <protection hidden="1" locked="0"/>
    </xf>
    <xf numFmtId="0" fontId="68" fillId="0" borderId="62" xfId="0" applyFont="1" applyFill="1" applyBorder="1" applyAlignment="1" applyProtection="1">
      <alignment/>
      <protection hidden="1" locked="0"/>
    </xf>
    <xf numFmtId="43" fontId="70" fillId="0" borderId="27" xfId="42" applyFont="1" applyFill="1" applyBorder="1" applyAlignment="1" applyProtection="1">
      <alignment/>
      <protection hidden="1" locked="0"/>
    </xf>
    <xf numFmtId="164" fontId="68" fillId="0" borderId="28" xfId="42" applyNumberFormat="1" applyFont="1" applyFill="1" applyBorder="1" applyAlignment="1" applyProtection="1">
      <alignment/>
      <protection hidden="1" locked="0"/>
    </xf>
    <xf numFmtId="0" fontId="69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68" fillId="22" borderId="29" xfId="0" applyFont="1" applyFill="1" applyBorder="1" applyAlignment="1" applyProtection="1">
      <alignment/>
      <protection hidden="1"/>
    </xf>
    <xf numFmtId="0" fontId="68" fillId="22" borderId="30" xfId="0" applyFont="1" applyFill="1" applyBorder="1" applyAlignment="1" applyProtection="1">
      <alignment/>
      <protection hidden="1"/>
    </xf>
    <xf numFmtId="0" fontId="68" fillId="22" borderId="31" xfId="0" applyFont="1" applyFill="1" applyBorder="1" applyAlignment="1" applyProtection="1">
      <alignment/>
      <protection hidden="1"/>
    </xf>
    <xf numFmtId="0" fontId="70" fillId="0" borderId="24" xfId="0" applyFont="1" applyBorder="1" applyAlignment="1" applyProtection="1">
      <alignment/>
      <protection hidden="1"/>
    </xf>
    <xf numFmtId="0" fontId="70" fillId="0" borderId="14" xfId="0" applyFont="1" applyBorder="1" applyAlignment="1" applyProtection="1">
      <alignment/>
      <protection hidden="1"/>
    </xf>
    <xf numFmtId="0" fontId="70" fillId="0" borderId="25" xfId="0" applyFont="1" applyBorder="1" applyAlignment="1" applyProtection="1">
      <alignment/>
      <protection hidden="1"/>
    </xf>
    <xf numFmtId="0" fontId="68" fillId="0" borderId="24" xfId="0" applyFont="1" applyBorder="1" applyAlignment="1" applyProtection="1">
      <alignment/>
      <protection hidden="1"/>
    </xf>
    <xf numFmtId="164" fontId="68" fillId="0" borderId="14" xfId="42" applyNumberFormat="1" applyFont="1" applyBorder="1" applyAlignment="1" applyProtection="1">
      <alignment/>
      <protection hidden="1"/>
    </xf>
    <xf numFmtId="43" fontId="68" fillId="0" borderId="14" xfId="42" applyNumberFormat="1" applyFont="1" applyBorder="1" applyAlignment="1" applyProtection="1">
      <alignment/>
      <protection hidden="1"/>
    </xf>
    <xf numFmtId="43" fontId="68" fillId="0" borderId="25" xfId="42" applyNumberFormat="1" applyFont="1" applyBorder="1" applyAlignment="1" applyProtection="1">
      <alignment/>
      <protection hidden="1"/>
    </xf>
    <xf numFmtId="2" fontId="68" fillId="0" borderId="0" xfId="0" applyNumberFormat="1" applyFont="1" applyAlignment="1" applyProtection="1">
      <alignment/>
      <protection hidden="1"/>
    </xf>
    <xf numFmtId="0" fontId="68" fillId="0" borderId="26" xfId="0" applyFont="1" applyBorder="1" applyAlignment="1" applyProtection="1">
      <alignment/>
      <protection hidden="1"/>
    </xf>
    <xf numFmtId="164" fontId="68" fillId="0" borderId="27" xfId="42" applyNumberFormat="1" applyFont="1" applyBorder="1" applyAlignment="1" applyProtection="1">
      <alignment/>
      <protection hidden="1"/>
    </xf>
    <xf numFmtId="43" fontId="68" fillId="0" borderId="27" xfId="42" applyNumberFormat="1" applyFont="1" applyBorder="1" applyAlignment="1" applyProtection="1">
      <alignment/>
      <protection hidden="1"/>
    </xf>
    <xf numFmtId="43" fontId="68" fillId="0" borderId="28" xfId="42" applyNumberFormat="1" applyFont="1" applyBorder="1" applyAlignment="1" applyProtection="1">
      <alignment/>
      <protection hidden="1"/>
    </xf>
    <xf numFmtId="0" fontId="68" fillId="22" borderId="29" xfId="0" applyFont="1" applyFill="1" applyBorder="1" applyAlignment="1" applyProtection="1">
      <alignment/>
      <protection hidden="1"/>
    </xf>
    <xf numFmtId="0" fontId="68" fillId="0" borderId="24" xfId="0" applyFont="1" applyBorder="1" applyAlignment="1" applyProtection="1">
      <alignment/>
      <protection hidden="1"/>
    </xf>
    <xf numFmtId="0" fontId="68" fillId="0" borderId="14" xfId="0" applyFont="1" applyBorder="1" applyAlignment="1" applyProtection="1">
      <alignment/>
      <protection hidden="1"/>
    </xf>
    <xf numFmtId="0" fontId="68" fillId="0" borderId="14" xfId="0" applyFont="1" applyBorder="1" applyAlignment="1" applyProtection="1">
      <alignment/>
      <protection hidden="1"/>
    </xf>
    <xf numFmtId="43" fontId="68" fillId="0" borderId="25" xfId="42" applyFont="1" applyBorder="1" applyAlignment="1" applyProtection="1">
      <alignment/>
      <protection hidden="1"/>
    </xf>
    <xf numFmtId="0" fontId="68" fillId="0" borderId="0" xfId="0" applyFont="1" applyAlignment="1" applyProtection="1">
      <alignment horizontal="right"/>
      <protection hidden="1"/>
    </xf>
    <xf numFmtId="0" fontId="68" fillId="35" borderId="0" xfId="0" applyFont="1" applyFill="1" applyAlignment="1" applyProtection="1">
      <alignment/>
      <protection hidden="1"/>
    </xf>
    <xf numFmtId="0" fontId="68" fillId="0" borderId="26" xfId="0" applyFont="1" applyBorder="1" applyAlignment="1" applyProtection="1">
      <alignment/>
      <protection hidden="1"/>
    </xf>
    <xf numFmtId="0" fontId="68" fillId="0" borderId="27" xfId="0" applyFont="1" applyBorder="1" applyAlignment="1" applyProtection="1">
      <alignment/>
      <protection hidden="1"/>
    </xf>
    <xf numFmtId="0" fontId="68" fillId="0" borderId="27" xfId="0" applyFont="1" applyBorder="1" applyAlignment="1" applyProtection="1">
      <alignment/>
      <protection hidden="1"/>
    </xf>
    <xf numFmtId="43" fontId="68" fillId="0" borderId="28" xfId="42" applyFont="1" applyBorder="1" applyAlignment="1" applyProtection="1">
      <alignment/>
      <protection hidden="1"/>
    </xf>
    <xf numFmtId="0" fontId="70" fillId="0" borderId="0" xfId="0" applyFont="1" applyAlignment="1" applyProtection="1">
      <alignment/>
      <protection hidden="1"/>
    </xf>
    <xf numFmtId="164" fontId="68" fillId="0" borderId="25" xfId="42" applyNumberFormat="1" applyFont="1" applyBorder="1" applyAlignment="1" applyProtection="1">
      <alignment/>
      <protection hidden="1"/>
    </xf>
    <xf numFmtId="0" fontId="20" fillId="34" borderId="14" xfId="0" applyFont="1" applyFill="1" applyBorder="1" applyAlignment="1" applyProtection="1">
      <alignment/>
      <protection hidden="1"/>
    </xf>
    <xf numFmtId="164" fontId="20" fillId="34" borderId="14" xfId="42" applyNumberFormat="1" applyFont="1" applyFill="1" applyBorder="1" applyAlignment="1" applyProtection="1">
      <alignment/>
      <protection hidden="1"/>
    </xf>
    <xf numFmtId="164" fontId="69" fillId="0" borderId="25" xfId="42" applyNumberFormat="1" applyFont="1" applyBorder="1" applyAlignment="1" applyProtection="1">
      <alignment/>
      <protection hidden="1"/>
    </xf>
    <xf numFmtId="9" fontId="68" fillId="0" borderId="14" xfId="0" applyNumberFormat="1" applyFont="1" applyBorder="1" applyAlignment="1" applyProtection="1">
      <alignment/>
      <protection hidden="1"/>
    </xf>
    <xf numFmtId="164" fontId="69" fillId="0" borderId="28" xfId="42" applyNumberFormat="1" applyFont="1" applyBorder="1" applyAlignment="1" applyProtection="1">
      <alignment/>
      <protection hidden="1"/>
    </xf>
    <xf numFmtId="165" fontId="20" fillId="0" borderId="0" xfId="57" applyNumberFormat="1" applyFont="1" applyAlignment="1" applyProtection="1">
      <alignment horizontal="right"/>
      <protection hidden="1"/>
    </xf>
    <xf numFmtId="165" fontId="20" fillId="0" borderId="0" xfId="57" applyNumberFormat="1" applyFont="1" applyProtection="1">
      <alignment/>
      <protection hidden="1"/>
    </xf>
    <xf numFmtId="165" fontId="24" fillId="0" borderId="0" xfId="57" applyNumberFormat="1" applyFont="1" applyAlignment="1" applyProtection="1">
      <alignment horizontal="left"/>
      <protection hidden="1"/>
    </xf>
    <xf numFmtId="165" fontId="20" fillId="0" borderId="0" xfId="57" applyNumberFormat="1" applyFont="1" applyAlignment="1" applyProtection="1">
      <alignment horizontal="center"/>
      <protection hidden="1"/>
    </xf>
    <xf numFmtId="0" fontId="72" fillId="0" borderId="0" xfId="0" applyFont="1" applyAlignment="1" applyProtection="1">
      <alignment/>
      <protection hidden="1"/>
    </xf>
    <xf numFmtId="165" fontId="20" fillId="34" borderId="12" xfId="57" applyNumberFormat="1" applyFont="1" applyFill="1" applyBorder="1" applyProtection="1">
      <alignment/>
      <protection hidden="1"/>
    </xf>
    <xf numFmtId="165" fontId="21" fillId="0" borderId="0" xfId="57" applyNumberFormat="1" applyFont="1" applyProtection="1">
      <alignment/>
      <protection hidden="1"/>
    </xf>
    <xf numFmtId="166" fontId="21" fillId="0" borderId="0" xfId="57" applyNumberFormat="1" applyFont="1" applyProtection="1">
      <alignment/>
      <protection hidden="1"/>
    </xf>
    <xf numFmtId="165" fontId="21" fillId="0" borderId="0" xfId="57" applyNumberFormat="1" applyFont="1" applyAlignment="1" applyProtection="1">
      <alignment horizontal="left"/>
      <protection hidden="1"/>
    </xf>
    <xf numFmtId="165" fontId="21" fillId="0" borderId="0" xfId="57" applyNumberFormat="1" applyFont="1" applyAlignment="1" applyProtection="1">
      <alignment horizontal="right"/>
      <protection hidden="1"/>
    </xf>
    <xf numFmtId="165" fontId="20" fillId="0" borderId="0" xfId="57" applyNumberFormat="1" applyFont="1" applyAlignment="1" applyProtection="1">
      <alignment horizontal="left"/>
      <protection hidden="1"/>
    </xf>
    <xf numFmtId="165" fontId="20" fillId="0" borderId="0" xfId="57" applyNumberFormat="1" applyFont="1" applyAlignment="1" applyProtection="1">
      <alignment horizontal="fill"/>
      <protection hidden="1"/>
    </xf>
    <xf numFmtId="165" fontId="20" fillId="0" borderId="12" xfId="57" applyNumberFormat="1" applyFont="1" applyBorder="1" applyProtection="1">
      <alignment/>
      <protection hidden="1"/>
    </xf>
    <xf numFmtId="165" fontId="20" fillId="0" borderId="12" xfId="57" applyNumberFormat="1" applyFont="1" applyBorder="1" applyAlignment="1" applyProtection="1">
      <alignment horizontal="left"/>
      <protection hidden="1"/>
    </xf>
    <xf numFmtId="167" fontId="21" fillId="0" borderId="0" xfId="57" applyNumberFormat="1" applyFont="1" applyProtection="1">
      <alignment/>
      <protection hidden="1"/>
    </xf>
    <xf numFmtId="165" fontId="20" fillId="0" borderId="12" xfId="57" applyNumberFormat="1" applyFont="1" applyBorder="1" applyAlignment="1" applyProtection="1">
      <alignment horizontal="right"/>
      <protection hidden="1"/>
    </xf>
    <xf numFmtId="2" fontId="20" fillId="0" borderId="12" xfId="57" applyNumberFormat="1" applyFont="1" applyBorder="1" applyAlignment="1" applyProtection="1">
      <alignment horizontal="center"/>
      <protection hidden="1"/>
    </xf>
    <xf numFmtId="1" fontId="20" fillId="0" borderId="0" xfId="57" applyNumberFormat="1" applyFont="1" applyProtection="1">
      <alignment/>
      <protection hidden="1"/>
    </xf>
    <xf numFmtId="167" fontId="20" fillId="0" borderId="0" xfId="57" applyNumberFormat="1" applyFont="1" applyProtection="1">
      <alignment/>
      <protection hidden="1"/>
    </xf>
    <xf numFmtId="165" fontId="21" fillId="0" borderId="12" xfId="57" applyNumberFormat="1" applyFont="1" applyBorder="1" applyProtection="1">
      <alignment/>
      <protection hidden="1"/>
    </xf>
    <xf numFmtId="165" fontId="21" fillId="0" borderId="12" xfId="57" applyNumberFormat="1" applyFont="1" applyBorder="1" applyAlignment="1" applyProtection="1">
      <alignment horizontal="right"/>
      <protection hidden="1"/>
    </xf>
    <xf numFmtId="2" fontId="20" fillId="0" borderId="0" xfId="57" applyNumberFormat="1" applyFont="1" applyAlignment="1" applyProtection="1">
      <alignment horizontal="left"/>
      <protection hidden="1"/>
    </xf>
    <xf numFmtId="165" fontId="20" fillId="0" borderId="0" xfId="57" applyNumberFormat="1" applyFont="1" applyAlignment="1" applyProtection="1">
      <alignment horizontal="left"/>
      <protection hidden="1"/>
    </xf>
    <xf numFmtId="1" fontId="21" fillId="0" borderId="12" xfId="57" applyNumberFormat="1" applyFont="1" applyBorder="1" applyAlignment="1" applyProtection="1">
      <alignment horizontal="right"/>
      <protection hidden="1"/>
    </xf>
    <xf numFmtId="165" fontId="20" fillId="0" borderId="0" xfId="57" applyNumberFormat="1" applyFont="1" applyAlignment="1" applyProtection="1">
      <alignment horizontal="center"/>
      <protection hidden="1"/>
    </xf>
    <xf numFmtId="2" fontId="20" fillId="0" borderId="0" xfId="57" applyNumberFormat="1" applyFont="1" applyProtection="1">
      <alignment/>
      <protection hidden="1"/>
    </xf>
    <xf numFmtId="0" fontId="20" fillId="0" borderId="0" xfId="57" applyNumberFormat="1" applyFont="1" applyAlignment="1" applyProtection="1">
      <alignment horizontal="fill"/>
      <protection hidden="1"/>
    </xf>
    <xf numFmtId="169" fontId="20" fillId="0" borderId="0" xfId="57" applyNumberFormat="1" applyFont="1" applyProtection="1">
      <alignment/>
      <protection hidden="1"/>
    </xf>
    <xf numFmtId="165" fontId="20" fillId="0" borderId="0" xfId="57" applyNumberFormat="1" applyFont="1" applyAlignment="1" applyProtection="1">
      <alignment horizontal="left" wrapText="1"/>
      <protection hidden="1"/>
    </xf>
    <xf numFmtId="167" fontId="20" fillId="0" borderId="0" xfId="57" applyNumberFormat="1" applyFont="1" applyAlignment="1" applyProtection="1">
      <alignment horizontal="left"/>
      <protection hidden="1"/>
    </xf>
    <xf numFmtId="173" fontId="20" fillId="0" borderId="0" xfId="57" applyNumberFormat="1" applyFo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0" fillId="0" borderId="12" xfId="0" applyFont="1" applyBorder="1" applyAlignment="1" applyProtection="1">
      <alignment wrapText="1"/>
      <protection hidden="1"/>
    </xf>
    <xf numFmtId="0" fontId="20" fillId="0" borderId="12" xfId="0" applyFont="1" applyBorder="1" applyAlignment="1" applyProtection="1">
      <alignment/>
      <protection hidden="1"/>
    </xf>
    <xf numFmtId="165" fontId="20" fillId="0" borderId="12" xfId="0" applyNumberFormat="1" applyFont="1" applyBorder="1" applyAlignment="1" applyProtection="1">
      <alignment/>
      <protection hidden="1"/>
    </xf>
    <xf numFmtId="171" fontId="20" fillId="0" borderId="12" xfId="0" applyNumberFormat="1" applyFont="1" applyBorder="1" applyAlignment="1" applyProtection="1">
      <alignment/>
      <protection hidden="1"/>
    </xf>
    <xf numFmtId="175" fontId="20" fillId="0" borderId="12" xfId="0" applyNumberFormat="1" applyFont="1" applyBorder="1" applyAlignment="1" applyProtection="1">
      <alignment wrapText="1"/>
      <protection hidden="1"/>
    </xf>
    <xf numFmtId="0" fontId="20" fillId="0" borderId="0" xfId="0" applyFont="1" applyBorder="1" applyAlignment="1" applyProtection="1">
      <alignment wrapText="1"/>
      <protection hidden="1"/>
    </xf>
    <xf numFmtId="170" fontId="20" fillId="0" borderId="12" xfId="0" applyNumberFormat="1" applyFont="1" applyBorder="1" applyAlignment="1" applyProtection="1">
      <alignment wrapText="1"/>
      <protection hidden="1"/>
    </xf>
    <xf numFmtId="170" fontId="20" fillId="0" borderId="12" xfId="0" applyNumberFormat="1" applyFont="1" applyBorder="1" applyAlignment="1" applyProtection="1">
      <alignment/>
      <protection hidden="1"/>
    </xf>
    <xf numFmtId="174" fontId="20" fillId="0" borderId="12" xfId="0" applyNumberFormat="1" applyFont="1" applyBorder="1" applyAlignment="1" applyProtection="1">
      <alignment/>
      <protection hidden="1"/>
    </xf>
    <xf numFmtId="167" fontId="20" fillId="0" borderId="12" xfId="57" applyNumberFormat="1" applyFont="1" applyBorder="1" applyProtection="1">
      <alignment/>
      <protection hidden="1"/>
    </xf>
    <xf numFmtId="165" fontId="20" fillId="0" borderId="12" xfId="57" applyNumberFormat="1" applyFont="1" applyBorder="1" applyAlignment="1" applyProtection="1">
      <alignment horizontal="fill"/>
      <protection hidden="1"/>
    </xf>
    <xf numFmtId="2" fontId="20" fillId="0" borderId="12" xfId="57" applyNumberFormat="1" applyFont="1" applyBorder="1" applyProtection="1">
      <alignment/>
      <protection hidden="1"/>
    </xf>
    <xf numFmtId="2" fontId="20" fillId="0" borderId="12" xfId="0" applyNumberFormat="1" applyFont="1" applyBorder="1" applyAlignment="1" applyProtection="1">
      <alignment/>
      <protection hidden="1"/>
    </xf>
    <xf numFmtId="176" fontId="20" fillId="0" borderId="12" xfId="57" applyNumberFormat="1" applyFont="1" applyBorder="1" applyProtection="1">
      <alignment/>
      <protection hidden="1"/>
    </xf>
    <xf numFmtId="172" fontId="20" fillId="0" borderId="12" xfId="57" applyNumberFormat="1" applyFont="1" applyBorder="1" applyProtection="1">
      <alignment/>
      <protection hidden="1"/>
    </xf>
    <xf numFmtId="165" fontId="20" fillId="0" borderId="0" xfId="57" applyNumberFormat="1" applyFont="1" applyAlignment="1" applyProtection="1">
      <alignment horizontal="center" wrapText="1"/>
      <protection hidden="1"/>
    </xf>
    <xf numFmtId="165" fontId="20" fillId="0" borderId="17" xfId="57" applyNumberFormat="1" applyFont="1" applyBorder="1" applyAlignment="1" applyProtection="1">
      <alignment/>
      <protection hidden="1"/>
    </xf>
    <xf numFmtId="165" fontId="20" fillId="0" borderId="43" xfId="57" applyNumberFormat="1" applyFont="1" applyBorder="1" applyAlignment="1" applyProtection="1">
      <alignment/>
      <protection hidden="1"/>
    </xf>
    <xf numFmtId="165" fontId="20" fillId="0" borderId="12" xfId="57" applyNumberFormat="1" applyFont="1" applyBorder="1" applyAlignment="1" applyProtection="1">
      <alignment horizontal="center"/>
      <protection hidden="1"/>
    </xf>
    <xf numFmtId="165" fontId="20" fillId="0" borderId="12" xfId="57" applyNumberFormat="1" applyFont="1" applyBorder="1" applyAlignment="1" applyProtection="1">
      <alignment horizontal="left" wrapText="1"/>
      <protection hidden="1"/>
    </xf>
    <xf numFmtId="0" fontId="72" fillId="0" borderId="12" xfId="0" applyFont="1" applyBorder="1" applyAlignment="1" applyProtection="1">
      <alignment wrapText="1"/>
      <protection hidden="1"/>
    </xf>
    <xf numFmtId="1" fontId="20" fillId="0" borderId="12" xfId="57" applyNumberFormat="1" applyFont="1" applyBorder="1" applyAlignment="1" applyProtection="1">
      <alignment horizontal="right"/>
      <protection hidden="1"/>
    </xf>
    <xf numFmtId="165" fontId="20" fillId="0" borderId="0" xfId="57" applyNumberFormat="1" applyFont="1" applyBorder="1" applyProtection="1">
      <alignment/>
      <protection hidden="1"/>
    </xf>
    <xf numFmtId="165" fontId="21" fillId="0" borderId="0" xfId="57" applyNumberFormat="1" applyFont="1" applyBorder="1" applyProtection="1">
      <alignment/>
      <protection hidden="1"/>
    </xf>
    <xf numFmtId="165" fontId="20" fillId="0" borderId="0" xfId="57" applyNumberFormat="1" applyFont="1" applyAlignment="1" applyProtection="1">
      <alignment horizontal="right" wrapText="1"/>
      <protection hidden="1"/>
    </xf>
    <xf numFmtId="0" fontId="72" fillId="0" borderId="0" xfId="0" applyFont="1" applyAlignment="1" applyProtection="1">
      <alignment wrapText="1"/>
      <protection hidden="1"/>
    </xf>
    <xf numFmtId="0" fontId="72" fillId="0" borderId="12" xfId="0" applyFont="1" applyBorder="1" applyAlignment="1" applyProtection="1">
      <alignment/>
      <protection hidden="1"/>
    </xf>
    <xf numFmtId="1" fontId="20" fillId="0" borderId="12" xfId="0" applyNumberFormat="1" applyFont="1" applyBorder="1" applyAlignment="1" applyProtection="1">
      <alignment/>
      <protection hidden="1"/>
    </xf>
    <xf numFmtId="165" fontId="20" fillId="0" borderId="0" xfId="57" applyNumberFormat="1" applyFont="1" applyAlignment="1" applyProtection="1">
      <alignment/>
      <protection hidden="1"/>
    </xf>
    <xf numFmtId="172" fontId="20" fillId="0" borderId="0" xfId="57" applyNumberFormat="1" applyFont="1" applyProtection="1">
      <alignment/>
      <protection hidden="1"/>
    </xf>
    <xf numFmtId="164" fontId="68" fillId="0" borderId="28" xfId="42" applyNumberFormat="1" applyFont="1" applyBorder="1" applyAlignment="1" applyProtection="1">
      <alignment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25">
    <dxf>
      <fill>
        <patternFill>
          <bgColor rgb="FF92D0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7"/>
        </patternFill>
      </fill>
    </dxf>
    <dxf>
      <font>
        <color theme="3"/>
      </font>
      <fill>
        <patternFill>
          <bgColor rgb="FF92D050"/>
        </patternFill>
      </fill>
    </dxf>
    <dxf>
      <font>
        <color rgb="FF0070C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7"/>
        </patternFill>
      </fill>
    </dxf>
    <dxf>
      <fill>
        <patternFill>
          <bgColor rgb="FF92D0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7"/>
        </patternFill>
      </fill>
    </dxf>
    <dxf>
      <font>
        <color rgb="FF0070C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7"/>
        </patternFill>
      </fill>
    </dxf>
    <dxf>
      <fill>
        <patternFill>
          <bgColor rgb="FF92D0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7"/>
        </patternFill>
      </fill>
    </dxf>
    <dxf>
      <fill>
        <patternFill>
          <bgColor rgb="FF92D0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7"/>
        </patternFill>
      </fill>
    </dxf>
    <dxf>
      <font>
        <color rgb="FFFFFFFF"/>
      </font>
      <fill>
        <patternFill>
          <bgColor rgb="FF008000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rgb="FF0070C0"/>
      </font>
      <fill>
        <patternFill>
          <bgColor rgb="FF92D050"/>
        </patternFill>
      </fill>
      <border/>
    </dxf>
    <dxf>
      <font>
        <color theme="3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chyutha\Local%20Settings\Temporary%20Internet%20Files\Content.Outlook\6H7T317V\Population%20Projection%20Templ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 DATA"/>
      <sheetName val="Pop_Projection"/>
    </sheetNames>
    <sheetDataSet>
      <sheetData sheetId="0">
        <row r="13">
          <cell r="D13">
            <v>261740</v>
          </cell>
          <cell r="E13">
            <v>52000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3"/>
  <sheetViews>
    <sheetView tabSelected="1" zoomScalePageLayoutView="0" workbookViewId="0" topLeftCell="A12">
      <selection activeCell="M19" sqref="M19"/>
    </sheetView>
  </sheetViews>
  <sheetFormatPr defaultColWidth="9.140625" defaultRowHeight="15"/>
  <cols>
    <col min="1" max="1" width="1.8515625" style="1" customWidth="1"/>
    <col min="2" max="2" width="2.421875" style="1" customWidth="1"/>
    <col min="3" max="3" width="9.140625" style="1" customWidth="1"/>
    <col min="4" max="4" width="11.7109375" style="1" customWidth="1"/>
    <col min="5" max="5" width="12.28125" style="1" customWidth="1"/>
    <col min="6" max="6" width="10.8515625" style="1" customWidth="1"/>
    <col min="7" max="7" width="6.7109375" style="1" customWidth="1"/>
    <col min="8" max="8" width="2.00390625" style="1" customWidth="1"/>
    <col min="9" max="9" width="2.28125" style="1" customWidth="1"/>
    <col min="10" max="10" width="15.8515625" style="1" customWidth="1"/>
    <col min="11" max="11" width="26.421875" style="1" customWidth="1"/>
    <col min="12" max="12" width="10.421875" style="1" customWidth="1"/>
    <col min="13" max="13" width="12.7109375" style="1" customWidth="1"/>
    <col min="14" max="14" width="13.28125" style="1" customWidth="1"/>
    <col min="15" max="15" width="0.9921875" style="1" customWidth="1"/>
    <col min="16" max="17" width="9.140625" style="1" customWidth="1"/>
    <col min="18" max="18" width="12.140625" style="1" customWidth="1"/>
    <col min="19" max="16384" width="9.140625" style="1" customWidth="1"/>
  </cols>
  <sheetData>
    <row r="1" spans="2:13" ht="15.75">
      <c r="B1" s="124" t="s">
        <v>457</v>
      </c>
      <c r="F1" s="2"/>
      <c r="G1" s="3"/>
      <c r="L1" s="1" t="s">
        <v>456</v>
      </c>
      <c r="M1" s="132" t="s">
        <v>3</v>
      </c>
    </row>
    <row r="2" spans="2:7" ht="2.25" customHeight="1" thickBot="1">
      <c r="B2" s="5"/>
      <c r="G2" s="6"/>
    </row>
    <row r="3" spans="2:21" ht="13.5">
      <c r="B3" s="165" t="s">
        <v>31</v>
      </c>
      <c r="C3" s="166"/>
      <c r="D3" s="166"/>
      <c r="E3" s="166"/>
      <c r="F3" s="166"/>
      <c r="G3" s="167"/>
      <c r="I3" s="165" t="s">
        <v>4</v>
      </c>
      <c r="J3" s="166"/>
      <c r="K3" s="166"/>
      <c r="L3" s="166"/>
      <c r="M3" s="166"/>
      <c r="N3" s="167"/>
      <c r="P3" s="155" t="s">
        <v>467</v>
      </c>
      <c r="Q3" s="156"/>
      <c r="R3" s="156"/>
      <c r="S3" s="156"/>
      <c r="T3" s="156"/>
      <c r="U3" s="157"/>
    </row>
    <row r="4" spans="2:21" ht="1.5" customHeight="1" thickBot="1">
      <c r="B4" s="5"/>
      <c r="G4" s="6"/>
      <c r="I4" s="5"/>
      <c r="N4" s="6"/>
      <c r="P4" s="7"/>
      <c r="Q4" s="4"/>
      <c r="R4" s="4"/>
      <c r="U4" s="6"/>
    </row>
    <row r="5" spans="2:21" ht="13.5">
      <c r="B5" s="5" t="s">
        <v>0</v>
      </c>
      <c r="C5" s="1" t="s">
        <v>1</v>
      </c>
      <c r="G5" s="6"/>
      <c r="I5" s="7"/>
      <c r="J5" s="4"/>
      <c r="K5" s="4"/>
      <c r="L5" s="4"/>
      <c r="M5" s="4"/>
      <c r="N5" s="8"/>
      <c r="P5" s="197"/>
      <c r="Q5" s="198"/>
      <c r="R5" s="198"/>
      <c r="S5" s="198"/>
      <c r="T5" s="198"/>
      <c r="U5" s="199"/>
    </row>
    <row r="6" spans="2:21" ht="1.5" customHeight="1">
      <c r="B6" s="5"/>
      <c r="G6" s="6"/>
      <c r="I6" s="7"/>
      <c r="J6" s="4"/>
      <c r="K6" s="4"/>
      <c r="L6" s="4"/>
      <c r="M6" s="4"/>
      <c r="N6" s="8"/>
      <c r="P6" s="7"/>
      <c r="Q6" s="4"/>
      <c r="R6" s="4"/>
      <c r="U6" s="6"/>
    </row>
    <row r="7" spans="2:21" ht="13.5" customHeight="1">
      <c r="B7" s="5"/>
      <c r="C7" s="1" t="s">
        <v>2</v>
      </c>
      <c r="D7" s="1" t="s">
        <v>1</v>
      </c>
      <c r="E7" s="1" t="s">
        <v>5</v>
      </c>
      <c r="G7" s="6"/>
      <c r="I7" s="7"/>
      <c r="J7" s="4"/>
      <c r="K7" s="4" t="s">
        <v>32</v>
      </c>
      <c r="L7" s="4"/>
      <c r="M7" s="4"/>
      <c r="N7" s="8"/>
      <c r="P7" s="161" t="s">
        <v>479</v>
      </c>
      <c r="Q7" s="162"/>
      <c r="R7" s="162"/>
      <c r="S7" s="162"/>
      <c r="T7" s="162"/>
      <c r="U7" s="163"/>
    </row>
    <row r="8" spans="2:21" ht="13.5">
      <c r="B8" s="5"/>
      <c r="C8" s="1">
        <v>1951</v>
      </c>
      <c r="D8" s="132">
        <v>54981</v>
      </c>
      <c r="E8" s="9"/>
      <c r="G8" s="6"/>
      <c r="I8" s="7" t="s">
        <v>0</v>
      </c>
      <c r="J8" s="4" t="s">
        <v>33</v>
      </c>
      <c r="K8" s="10" t="s">
        <v>34</v>
      </c>
      <c r="L8" s="11" t="s">
        <v>35</v>
      </c>
      <c r="M8" s="4"/>
      <c r="N8" s="8"/>
      <c r="P8" s="158" t="s">
        <v>376</v>
      </c>
      <c r="Q8" s="159"/>
      <c r="R8" s="159"/>
      <c r="S8" s="159"/>
      <c r="T8" s="159"/>
      <c r="U8" s="160"/>
    </row>
    <row r="9" spans="2:21" ht="13.5">
      <c r="B9" s="5"/>
      <c r="C9" s="1">
        <v>1961</v>
      </c>
      <c r="D9" s="132">
        <v>67026</v>
      </c>
      <c r="E9" s="9"/>
      <c r="G9" s="6"/>
      <c r="I9" s="7"/>
      <c r="J9" s="4"/>
      <c r="K9" s="12"/>
      <c r="L9" s="4"/>
      <c r="M9" s="4"/>
      <c r="N9" s="8"/>
      <c r="P9" s="158" t="s">
        <v>458</v>
      </c>
      <c r="Q9" s="159"/>
      <c r="R9" s="159"/>
      <c r="S9" s="159"/>
      <c r="T9" s="159"/>
      <c r="U9" s="160"/>
    </row>
    <row r="10" spans="2:21" ht="13.5">
      <c r="B10" s="5"/>
      <c r="C10" s="1">
        <v>1971</v>
      </c>
      <c r="D10" s="132">
        <v>87981</v>
      </c>
      <c r="E10" s="9"/>
      <c r="G10" s="6"/>
      <c r="I10" s="7"/>
      <c r="J10" s="13" t="s">
        <v>36</v>
      </c>
      <c r="L10" s="4"/>
      <c r="M10" s="4"/>
      <c r="N10" s="8"/>
      <c r="P10" s="158" t="s">
        <v>459</v>
      </c>
      <c r="Q10" s="159"/>
      <c r="R10" s="159"/>
      <c r="S10" s="159"/>
      <c r="T10" s="159"/>
      <c r="U10" s="160"/>
    </row>
    <row r="11" spans="2:21" ht="13.5">
      <c r="B11" s="5"/>
      <c r="C11" s="1">
        <v>1981</v>
      </c>
      <c r="D11" s="132">
        <v>137927</v>
      </c>
      <c r="E11" s="9"/>
      <c r="G11" s="6"/>
      <c r="I11" s="7"/>
      <c r="J11" s="4" t="s">
        <v>2</v>
      </c>
      <c r="K11" s="14">
        <v>2011</v>
      </c>
      <c r="L11" s="14">
        <v>2021</v>
      </c>
      <c r="M11" s="14">
        <v>2031</v>
      </c>
      <c r="N11" s="15">
        <v>2041</v>
      </c>
      <c r="P11" s="158" t="s">
        <v>480</v>
      </c>
      <c r="Q11" s="159"/>
      <c r="R11" s="159"/>
      <c r="S11" s="159"/>
      <c r="T11" s="159"/>
      <c r="U11" s="160"/>
    </row>
    <row r="12" spans="2:21" ht="13.5">
      <c r="B12" s="5"/>
      <c r="C12" s="1">
        <v>1991</v>
      </c>
      <c r="D12" s="132">
        <v>191000</v>
      </c>
      <c r="E12" s="9"/>
      <c r="G12" s="6"/>
      <c r="I12" s="7"/>
      <c r="J12" s="4" t="s">
        <v>1</v>
      </c>
      <c r="K12" s="200">
        <v>499438</v>
      </c>
      <c r="L12" s="201">
        <v>701302</v>
      </c>
      <c r="M12" s="201">
        <v>959740</v>
      </c>
      <c r="N12" s="202">
        <v>1274752</v>
      </c>
      <c r="P12" s="161" t="s">
        <v>460</v>
      </c>
      <c r="Q12" s="162"/>
      <c r="R12" s="162"/>
      <c r="S12" s="162"/>
      <c r="T12" s="162"/>
      <c r="U12" s="163"/>
    </row>
    <row r="13" spans="2:21" ht="13.5">
      <c r="B13" s="5"/>
      <c r="C13" s="1">
        <v>2001</v>
      </c>
      <c r="D13" s="132">
        <v>261740</v>
      </c>
      <c r="E13" s="132">
        <v>52000</v>
      </c>
      <c r="G13" s="6"/>
      <c r="I13" s="7"/>
      <c r="J13" s="4"/>
      <c r="K13" s="4"/>
      <c r="L13" s="4"/>
      <c r="M13" s="4"/>
      <c r="N13" s="8"/>
      <c r="P13" s="5"/>
      <c r="U13" s="6"/>
    </row>
    <row r="14" spans="2:21" ht="13.5">
      <c r="B14" s="17" t="s">
        <v>6</v>
      </c>
      <c r="C14" s="168" t="s">
        <v>7</v>
      </c>
      <c r="D14" s="168"/>
      <c r="E14" s="168"/>
      <c r="F14" s="168"/>
      <c r="G14" s="18"/>
      <c r="I14" s="7"/>
      <c r="J14" s="13" t="s">
        <v>37</v>
      </c>
      <c r="L14" s="4"/>
      <c r="M14" s="4"/>
      <c r="N14" s="8"/>
      <c r="P14" s="223"/>
      <c r="Q14" s="125" t="s">
        <v>466</v>
      </c>
      <c r="R14" s="128"/>
      <c r="S14" s="224"/>
      <c r="T14" s="125" t="s">
        <v>499</v>
      </c>
      <c r="U14" s="131"/>
    </row>
    <row r="15" spans="2:21" ht="13.5">
      <c r="B15" s="17"/>
      <c r="C15" s="20" t="s">
        <v>2</v>
      </c>
      <c r="D15" s="20" t="s">
        <v>1</v>
      </c>
      <c r="E15" s="20" t="s">
        <v>8</v>
      </c>
      <c r="F15" s="21" t="s">
        <v>27</v>
      </c>
      <c r="G15" s="22" t="s">
        <v>11</v>
      </c>
      <c r="I15" s="7"/>
      <c r="J15" s="4" t="s">
        <v>38</v>
      </c>
      <c r="K15" s="4" t="s">
        <v>45</v>
      </c>
      <c r="L15" s="4"/>
      <c r="M15" s="4"/>
      <c r="N15" s="8"/>
      <c r="P15" s="127"/>
      <c r="Q15" s="128"/>
      <c r="R15" s="128"/>
      <c r="S15" s="128"/>
      <c r="T15" s="125" t="s">
        <v>500</v>
      </c>
      <c r="U15" s="131"/>
    </row>
    <row r="16" spans="2:21" ht="13.5">
      <c r="B16" s="17"/>
      <c r="C16" s="24"/>
      <c r="D16" s="24" t="s">
        <v>9</v>
      </c>
      <c r="E16" s="24" t="s">
        <v>10</v>
      </c>
      <c r="F16" s="24" t="s">
        <v>9</v>
      </c>
      <c r="G16" s="25" t="s">
        <v>12</v>
      </c>
      <c r="I16" s="7"/>
      <c r="J16" s="1" t="s">
        <v>38</v>
      </c>
      <c r="K16" s="14" t="s">
        <v>39</v>
      </c>
      <c r="L16" s="14" t="s">
        <v>40</v>
      </c>
      <c r="M16" s="117" t="s">
        <v>41</v>
      </c>
      <c r="N16" s="19" t="s">
        <v>42</v>
      </c>
      <c r="P16" s="129"/>
      <c r="Q16" s="125" t="s">
        <v>461</v>
      </c>
      <c r="R16" s="128"/>
      <c r="S16" s="137"/>
      <c r="T16" s="125" t="s">
        <v>463</v>
      </c>
      <c r="U16" s="126"/>
    </row>
    <row r="17" spans="2:21" ht="13.5">
      <c r="B17" s="17"/>
      <c r="C17" s="203">
        <v>2009</v>
      </c>
      <c r="D17" s="204">
        <v>486000</v>
      </c>
      <c r="E17" s="203">
        <v>81.05</v>
      </c>
      <c r="F17" s="204">
        <v>195</v>
      </c>
      <c r="G17" s="205">
        <v>40</v>
      </c>
      <c r="I17" s="7"/>
      <c r="J17" s="1" t="s">
        <v>43</v>
      </c>
      <c r="K17" s="23"/>
      <c r="L17" s="23"/>
      <c r="M17" s="23"/>
      <c r="N17" s="119"/>
      <c r="P17" s="127"/>
      <c r="Q17" s="125" t="s">
        <v>462</v>
      </c>
      <c r="R17" s="128"/>
      <c r="S17" s="128"/>
      <c r="T17" s="125" t="s">
        <v>464</v>
      </c>
      <c r="U17" s="126"/>
    </row>
    <row r="18" spans="2:21" ht="13.5">
      <c r="B18" s="17"/>
      <c r="C18" s="169" t="s">
        <v>54</v>
      </c>
      <c r="D18" s="170"/>
      <c r="E18" s="171"/>
      <c r="F18" s="204">
        <v>27303</v>
      </c>
      <c r="G18" s="26" t="s">
        <v>9</v>
      </c>
      <c r="I18" s="7"/>
      <c r="J18" s="4"/>
      <c r="K18" s="45"/>
      <c r="L18" s="45"/>
      <c r="M18" s="45"/>
      <c r="N18" s="46"/>
      <c r="P18" s="127"/>
      <c r="Q18" s="128"/>
      <c r="R18" s="128"/>
      <c r="U18" s="6"/>
    </row>
    <row r="19" spans="2:21" ht="13.5">
      <c r="B19" s="17"/>
      <c r="C19" s="173" t="s">
        <v>13</v>
      </c>
      <c r="D19" s="174"/>
      <c r="E19" s="175"/>
      <c r="F19" s="212">
        <f>(F18*D13)/E13</f>
        <v>137428.6003846154</v>
      </c>
      <c r="G19" s="26" t="s">
        <v>9</v>
      </c>
      <c r="I19" s="7" t="s">
        <v>6</v>
      </c>
      <c r="J19" s="4" t="s">
        <v>313</v>
      </c>
      <c r="K19" s="45"/>
      <c r="L19" s="45"/>
      <c r="M19" s="45"/>
      <c r="N19" s="46"/>
      <c r="P19" s="130"/>
      <c r="Q19" s="125" t="s">
        <v>502</v>
      </c>
      <c r="R19" s="128"/>
      <c r="U19" s="6"/>
    </row>
    <row r="20" spans="2:21" ht="13.5">
      <c r="B20" s="17"/>
      <c r="C20" s="176" t="s">
        <v>24</v>
      </c>
      <c r="D20" s="177"/>
      <c r="E20" s="214" t="s">
        <v>53</v>
      </c>
      <c r="F20" s="204">
        <v>184</v>
      </c>
      <c r="G20" s="27" t="s">
        <v>20</v>
      </c>
      <c r="I20" s="7"/>
      <c r="J20" s="4" t="s">
        <v>314</v>
      </c>
      <c r="K20" s="45" t="s">
        <v>2</v>
      </c>
      <c r="M20" s="49">
        <v>2011</v>
      </c>
      <c r="N20" s="46"/>
      <c r="P20" s="127"/>
      <c r="Q20" s="125"/>
      <c r="R20" s="128"/>
      <c r="U20" s="6"/>
    </row>
    <row r="21" spans="2:21" ht="15" customHeight="1">
      <c r="B21" s="17"/>
      <c r="C21" s="173" t="s">
        <v>14</v>
      </c>
      <c r="D21" s="174"/>
      <c r="E21" s="214" t="s">
        <v>53</v>
      </c>
      <c r="F21" s="204">
        <v>110.3</v>
      </c>
      <c r="G21" s="27" t="s">
        <v>20</v>
      </c>
      <c r="I21" s="7"/>
      <c r="J21" s="150" t="s">
        <v>394</v>
      </c>
      <c r="K21" s="14" t="s">
        <v>315</v>
      </c>
      <c r="L21" s="48">
        <v>30</v>
      </c>
      <c r="M21" s="50">
        <f>M20+L21</f>
        <v>2041</v>
      </c>
      <c r="N21" s="8"/>
      <c r="P21" s="5"/>
      <c r="U21" s="6"/>
    </row>
    <row r="22" spans="2:21" ht="13.5" customHeight="1">
      <c r="B22" s="17"/>
      <c r="C22" s="56" t="s">
        <v>15</v>
      </c>
      <c r="D22" s="57"/>
      <c r="E22" s="215" t="s">
        <v>53</v>
      </c>
      <c r="F22" s="204">
        <v>535.13</v>
      </c>
      <c r="G22" s="27" t="s">
        <v>20</v>
      </c>
      <c r="I22" s="17"/>
      <c r="J22" s="151"/>
      <c r="K22" s="4"/>
      <c r="L22" s="4"/>
      <c r="M22" s="47"/>
      <c r="N22" s="8"/>
      <c r="P22" s="136" t="s">
        <v>481</v>
      </c>
      <c r="U22" s="6"/>
    </row>
    <row r="23" spans="2:21" ht="13.5" customHeight="1">
      <c r="B23" s="17"/>
      <c r="C23" s="169" t="s">
        <v>22</v>
      </c>
      <c r="D23" s="170"/>
      <c r="E23" s="171"/>
      <c r="F23" s="204">
        <v>283</v>
      </c>
      <c r="G23" s="26" t="s">
        <v>9</v>
      </c>
      <c r="I23" s="17" t="s">
        <v>312</v>
      </c>
      <c r="J23" s="172" t="s">
        <v>28</v>
      </c>
      <c r="K23" s="172"/>
      <c r="L23" s="53" t="s">
        <v>55</v>
      </c>
      <c r="M23" s="54" t="s">
        <v>267</v>
      </c>
      <c r="N23" s="61" t="s">
        <v>268</v>
      </c>
      <c r="P23" s="5" t="s">
        <v>507</v>
      </c>
      <c r="U23" s="6"/>
    </row>
    <row r="24" spans="2:21" ht="13.5">
      <c r="B24" s="17"/>
      <c r="C24" s="169" t="s">
        <v>16</v>
      </c>
      <c r="D24" s="170"/>
      <c r="E24" s="171"/>
      <c r="F24" s="204">
        <v>600</v>
      </c>
      <c r="G24" s="26" t="s">
        <v>18</v>
      </c>
      <c r="I24" s="17"/>
      <c r="J24" s="172" t="s">
        <v>29</v>
      </c>
      <c r="K24" s="172"/>
      <c r="L24" s="216">
        <v>8</v>
      </c>
      <c r="M24" s="54">
        <v>100</v>
      </c>
      <c r="N24" s="221">
        <v>918</v>
      </c>
      <c r="P24" s="147" t="s">
        <v>501</v>
      </c>
      <c r="Q24" s="145"/>
      <c r="R24" s="145"/>
      <c r="S24" s="145"/>
      <c r="T24" s="145"/>
      <c r="U24" s="146"/>
    </row>
    <row r="25" spans="2:21" ht="13.5">
      <c r="B25" s="17"/>
      <c r="C25" s="169" t="s">
        <v>17</v>
      </c>
      <c r="D25" s="170"/>
      <c r="E25" s="171"/>
      <c r="F25" s="204">
        <v>285</v>
      </c>
      <c r="G25" s="26" t="s">
        <v>18</v>
      </c>
      <c r="I25" s="17"/>
      <c r="J25" s="178" t="s">
        <v>30</v>
      </c>
      <c r="K25" s="179"/>
      <c r="L25" s="216">
        <v>3</v>
      </c>
      <c r="M25" s="54">
        <v>150</v>
      </c>
      <c r="N25" s="221">
        <v>1395</v>
      </c>
      <c r="P25" s="152" t="s">
        <v>482</v>
      </c>
      <c r="Q25" s="153"/>
      <c r="R25" s="153"/>
      <c r="S25" s="153"/>
      <c r="T25" s="153"/>
      <c r="U25" s="154"/>
    </row>
    <row r="26" spans="2:21" ht="13.5">
      <c r="B26" s="17"/>
      <c r="C26" s="169" t="s">
        <v>19</v>
      </c>
      <c r="D26" s="170"/>
      <c r="E26" s="171"/>
      <c r="F26" s="206">
        <v>23</v>
      </c>
      <c r="G26" s="26" t="s">
        <v>21</v>
      </c>
      <c r="I26" s="17"/>
      <c r="J26" s="178" t="s">
        <v>306</v>
      </c>
      <c r="K26" s="179"/>
      <c r="L26" s="216">
        <v>6000</v>
      </c>
      <c r="M26" s="54">
        <v>200</v>
      </c>
      <c r="N26" s="221">
        <v>1540</v>
      </c>
      <c r="P26" s="152" t="s">
        <v>485</v>
      </c>
      <c r="Q26" s="153"/>
      <c r="R26" s="153"/>
      <c r="S26" s="153"/>
      <c r="T26" s="153"/>
      <c r="U26" s="154"/>
    </row>
    <row r="27" spans="2:21" ht="13.5">
      <c r="B27" s="17"/>
      <c r="C27" s="169" t="s">
        <v>77</v>
      </c>
      <c r="D27" s="170"/>
      <c r="E27" s="171"/>
      <c r="F27" s="204">
        <v>4</v>
      </c>
      <c r="G27" s="26" t="s">
        <v>9</v>
      </c>
      <c r="I27" s="17"/>
      <c r="J27" s="178" t="s">
        <v>369</v>
      </c>
      <c r="K27" s="179"/>
      <c r="L27" s="216">
        <v>21600000</v>
      </c>
      <c r="M27" s="54">
        <v>250</v>
      </c>
      <c r="N27" s="221">
        <v>2005</v>
      </c>
      <c r="P27" s="152" t="s">
        <v>483</v>
      </c>
      <c r="Q27" s="153"/>
      <c r="R27" s="153"/>
      <c r="S27" s="153"/>
      <c r="T27" s="153"/>
      <c r="U27" s="154"/>
    </row>
    <row r="28" spans="2:21" ht="13.5">
      <c r="B28" s="17"/>
      <c r="C28" s="169" t="s">
        <v>75</v>
      </c>
      <c r="D28" s="170"/>
      <c r="E28" s="171"/>
      <c r="F28" s="204">
        <v>6.75</v>
      </c>
      <c r="G28" s="26" t="s">
        <v>26</v>
      </c>
      <c r="I28" s="17"/>
      <c r="J28" s="178" t="s">
        <v>85</v>
      </c>
      <c r="K28" s="179"/>
      <c r="L28" s="216">
        <v>2000</v>
      </c>
      <c r="M28" s="54">
        <v>300</v>
      </c>
      <c r="N28" s="221">
        <v>2543</v>
      </c>
      <c r="P28" s="152" t="s">
        <v>484</v>
      </c>
      <c r="Q28" s="153"/>
      <c r="R28" s="153"/>
      <c r="S28" s="153"/>
      <c r="T28" s="153"/>
      <c r="U28" s="154"/>
    </row>
    <row r="29" spans="2:21" ht="13.5">
      <c r="B29" s="17"/>
      <c r="C29" s="169" t="s">
        <v>76</v>
      </c>
      <c r="D29" s="170"/>
      <c r="E29" s="171"/>
      <c r="F29" s="204">
        <v>7</v>
      </c>
      <c r="G29" s="26" t="s">
        <v>9</v>
      </c>
      <c r="I29" s="17"/>
      <c r="J29" s="178" t="s">
        <v>86</v>
      </c>
      <c r="K29" s="179"/>
      <c r="L29" s="216">
        <v>25000</v>
      </c>
      <c r="M29" s="54">
        <v>350</v>
      </c>
      <c r="N29" s="221">
        <v>3197</v>
      </c>
      <c r="P29" s="152" t="s">
        <v>486</v>
      </c>
      <c r="Q29" s="153"/>
      <c r="R29" s="153"/>
      <c r="S29" s="153"/>
      <c r="T29" s="153"/>
      <c r="U29" s="154"/>
    </row>
    <row r="30" spans="2:21" ht="13.5">
      <c r="B30" s="17"/>
      <c r="C30" s="181" t="s">
        <v>74</v>
      </c>
      <c r="D30" s="182"/>
      <c r="E30" s="183"/>
      <c r="F30" s="207">
        <v>2.65</v>
      </c>
      <c r="G30" s="43" t="s">
        <v>26</v>
      </c>
      <c r="I30" s="17"/>
      <c r="J30" s="172" t="s">
        <v>372</v>
      </c>
      <c r="K30" s="172"/>
      <c r="L30" s="216">
        <v>8000</v>
      </c>
      <c r="M30" s="54">
        <v>400</v>
      </c>
      <c r="N30" s="221">
        <v>3833</v>
      </c>
      <c r="P30" s="152" t="s">
        <v>487</v>
      </c>
      <c r="Q30" s="153"/>
      <c r="R30" s="153"/>
      <c r="S30" s="153"/>
      <c r="T30" s="153"/>
      <c r="U30" s="154"/>
    </row>
    <row r="31" spans="2:21" ht="13.5">
      <c r="B31" s="17"/>
      <c r="C31" s="180" t="s">
        <v>374</v>
      </c>
      <c r="D31" s="180"/>
      <c r="E31" s="180"/>
      <c r="F31" s="208">
        <v>30</v>
      </c>
      <c r="G31" s="52" t="s">
        <v>12</v>
      </c>
      <c r="I31" s="17"/>
      <c r="J31" s="186" t="s">
        <v>307</v>
      </c>
      <c r="K31" s="186"/>
      <c r="L31" s="208">
        <v>370</v>
      </c>
      <c r="M31" s="54">
        <v>450</v>
      </c>
      <c r="N31" s="221">
        <v>4547</v>
      </c>
      <c r="P31" s="152" t="s">
        <v>488</v>
      </c>
      <c r="Q31" s="153"/>
      <c r="R31" s="153"/>
      <c r="S31" s="153"/>
      <c r="T31" s="153"/>
      <c r="U31" s="154"/>
    </row>
    <row r="32" spans="2:21" ht="13.5">
      <c r="B32" s="17"/>
      <c r="C32" s="44" t="s">
        <v>67</v>
      </c>
      <c r="D32" s="44"/>
      <c r="E32" s="44" t="s">
        <v>68</v>
      </c>
      <c r="F32" s="208">
        <v>2</v>
      </c>
      <c r="G32" s="52" t="s">
        <v>21</v>
      </c>
      <c r="I32" s="17"/>
      <c r="J32" s="184" t="s">
        <v>348</v>
      </c>
      <c r="K32" s="185"/>
      <c r="L32" s="208">
        <v>2500000</v>
      </c>
      <c r="M32" s="54">
        <v>500</v>
      </c>
      <c r="N32" s="221">
        <v>5325</v>
      </c>
      <c r="P32" s="144" t="s">
        <v>489</v>
      </c>
      <c r="Q32" s="145"/>
      <c r="R32" s="145"/>
      <c r="S32" s="145"/>
      <c r="T32" s="145"/>
      <c r="U32" s="146"/>
    </row>
    <row r="33" spans="2:21" ht="13.5">
      <c r="B33" s="17"/>
      <c r="C33" s="180" t="s">
        <v>70</v>
      </c>
      <c r="D33" s="180"/>
      <c r="E33" s="180"/>
      <c r="F33" s="209">
        <v>1.75</v>
      </c>
      <c r="G33" s="52" t="s">
        <v>26</v>
      </c>
      <c r="I33" s="7"/>
      <c r="J33" s="186" t="s">
        <v>465</v>
      </c>
      <c r="K33" s="186"/>
      <c r="L33" s="208">
        <v>5000000</v>
      </c>
      <c r="M33" s="54">
        <v>600</v>
      </c>
      <c r="N33" s="221">
        <v>7015</v>
      </c>
      <c r="P33" s="147" t="s">
        <v>490</v>
      </c>
      <c r="Q33" s="145"/>
      <c r="R33" s="145"/>
      <c r="S33" s="145"/>
      <c r="T33" s="145"/>
      <c r="U33" s="146"/>
    </row>
    <row r="34" spans="2:21" ht="13.5">
      <c r="B34" s="17"/>
      <c r="C34" s="180" t="s">
        <v>69</v>
      </c>
      <c r="D34" s="180"/>
      <c r="E34" s="180"/>
      <c r="F34" s="213">
        <f>(IF(L21=15,OHSRs!D6,OHSRs!D7))/'INPUT DATA'!F33</f>
        <v>38.30830061621521</v>
      </c>
      <c r="G34" s="52" t="s">
        <v>9</v>
      </c>
      <c r="I34" s="7" t="s">
        <v>375</v>
      </c>
      <c r="J34" s="148" t="s">
        <v>317</v>
      </c>
      <c r="K34" s="149"/>
      <c r="L34" s="16"/>
      <c r="M34" s="54">
        <v>700</v>
      </c>
      <c r="N34" s="221">
        <v>9622</v>
      </c>
      <c r="P34" s="144" t="s">
        <v>491</v>
      </c>
      <c r="Q34" s="145"/>
      <c r="R34" s="145"/>
      <c r="S34" s="145"/>
      <c r="T34" s="145"/>
      <c r="U34" s="146"/>
    </row>
    <row r="35" spans="2:21" ht="13.5">
      <c r="B35" s="51"/>
      <c r="C35" s="180" t="s">
        <v>78</v>
      </c>
      <c r="D35" s="180"/>
      <c r="E35" s="180"/>
      <c r="F35" s="208">
        <v>20</v>
      </c>
      <c r="G35" s="26" t="s">
        <v>25</v>
      </c>
      <c r="I35" s="7"/>
      <c r="J35" s="190" t="s">
        <v>468</v>
      </c>
      <c r="K35" s="191"/>
      <c r="L35" s="217">
        <v>50</v>
      </c>
      <c r="M35" s="54">
        <v>800</v>
      </c>
      <c r="N35" s="221">
        <v>12550</v>
      </c>
      <c r="P35" s="147" t="s">
        <v>492</v>
      </c>
      <c r="Q35" s="145"/>
      <c r="R35" s="145"/>
      <c r="S35" s="145"/>
      <c r="T35" s="145"/>
      <c r="U35" s="146"/>
    </row>
    <row r="36" spans="2:21" ht="13.5">
      <c r="B36" s="51"/>
      <c r="C36" s="187"/>
      <c r="D36" s="188"/>
      <c r="E36" s="189"/>
      <c r="F36" s="208"/>
      <c r="G36" s="26"/>
      <c r="I36" s="7"/>
      <c r="J36" s="190" t="s">
        <v>469</v>
      </c>
      <c r="K36" s="191"/>
      <c r="L36" s="217">
        <v>233.5</v>
      </c>
      <c r="M36" s="54">
        <v>900</v>
      </c>
      <c r="N36" s="221">
        <v>15314</v>
      </c>
      <c r="P36" s="147" t="s">
        <v>493</v>
      </c>
      <c r="Q36" s="145"/>
      <c r="R36" s="145"/>
      <c r="S36" s="145"/>
      <c r="T36" s="145"/>
      <c r="U36" s="146"/>
    </row>
    <row r="37" spans="2:21" ht="13.5">
      <c r="B37" s="51"/>
      <c r="C37" s="180" t="s">
        <v>79</v>
      </c>
      <c r="D37" s="180"/>
      <c r="E37" s="180"/>
      <c r="F37" s="208">
        <v>5.5</v>
      </c>
      <c r="G37" s="26" t="s">
        <v>25</v>
      </c>
      <c r="I37" s="7"/>
      <c r="J37" s="192" t="s">
        <v>470</v>
      </c>
      <c r="K37" s="191"/>
      <c r="L37" s="217">
        <v>240.1</v>
      </c>
      <c r="M37" s="60">
        <v>1000</v>
      </c>
      <c r="N37" s="222">
        <v>18354</v>
      </c>
      <c r="P37" s="147" t="s">
        <v>494</v>
      </c>
      <c r="Q37" s="145"/>
      <c r="R37" s="145"/>
      <c r="S37" s="145"/>
      <c r="T37" s="145"/>
      <c r="U37" s="146"/>
    </row>
    <row r="38" spans="2:21" ht="13.5">
      <c r="B38" s="51"/>
      <c r="C38" s="180" t="s">
        <v>80</v>
      </c>
      <c r="D38" s="180"/>
      <c r="E38" s="180"/>
      <c r="F38" s="208">
        <v>10</v>
      </c>
      <c r="G38" s="52" t="s">
        <v>12</v>
      </c>
      <c r="I38" s="5"/>
      <c r="J38" s="190" t="s">
        <v>471</v>
      </c>
      <c r="K38" s="191"/>
      <c r="L38" s="217">
        <v>30</v>
      </c>
      <c r="M38" s="54"/>
      <c r="N38" s="135"/>
      <c r="P38" s="147" t="s">
        <v>495</v>
      </c>
      <c r="Q38" s="145"/>
      <c r="R38" s="145"/>
      <c r="S38" s="145"/>
      <c r="T38" s="145"/>
      <c r="U38" s="146"/>
    </row>
    <row r="39" spans="2:21" ht="13.5">
      <c r="B39" s="51"/>
      <c r="C39" s="180" t="s">
        <v>358</v>
      </c>
      <c r="D39" s="180"/>
      <c r="E39" s="180"/>
      <c r="F39" s="208">
        <v>4</v>
      </c>
      <c r="G39" s="52" t="s">
        <v>9</v>
      </c>
      <c r="I39" s="7"/>
      <c r="J39" s="190" t="s">
        <v>472</v>
      </c>
      <c r="K39" s="191"/>
      <c r="L39" s="217">
        <v>78</v>
      </c>
      <c r="M39" s="133" t="s">
        <v>25</v>
      </c>
      <c r="N39" s="6"/>
      <c r="P39" s="141" t="s">
        <v>496</v>
      </c>
      <c r="Q39" s="142"/>
      <c r="R39" s="142"/>
      <c r="S39" s="142"/>
      <c r="T39" s="142"/>
      <c r="U39" s="143"/>
    </row>
    <row r="40" spans="2:21" ht="13.5">
      <c r="B40" s="51"/>
      <c r="C40" s="180" t="s">
        <v>359</v>
      </c>
      <c r="D40" s="180"/>
      <c r="E40" s="180"/>
      <c r="F40" s="208">
        <v>2</v>
      </c>
      <c r="G40" s="52" t="s">
        <v>9</v>
      </c>
      <c r="I40" s="5"/>
      <c r="J40" s="190" t="s">
        <v>473</v>
      </c>
      <c r="K40" s="191"/>
      <c r="L40" s="217">
        <v>83</v>
      </c>
      <c r="M40" s="133" t="s">
        <v>25</v>
      </c>
      <c r="N40" s="6"/>
      <c r="P40" s="144" t="s">
        <v>497</v>
      </c>
      <c r="Q40" s="145"/>
      <c r="R40" s="145"/>
      <c r="S40" s="145"/>
      <c r="T40" s="145"/>
      <c r="U40" s="146"/>
    </row>
    <row r="41" spans="2:21" ht="13.5">
      <c r="B41" s="51"/>
      <c r="C41" s="180" t="s">
        <v>82</v>
      </c>
      <c r="D41" s="180"/>
      <c r="E41" s="180"/>
      <c r="F41" s="208">
        <v>50</v>
      </c>
      <c r="G41" s="52" t="s">
        <v>12</v>
      </c>
      <c r="I41" s="5"/>
      <c r="J41" s="190" t="s">
        <v>474</v>
      </c>
      <c r="K41" s="191"/>
      <c r="L41" s="217">
        <v>1400</v>
      </c>
      <c r="M41" s="133" t="s">
        <v>25</v>
      </c>
      <c r="N41" s="6"/>
      <c r="P41" s="147" t="s">
        <v>498</v>
      </c>
      <c r="Q41" s="145"/>
      <c r="R41" s="145"/>
      <c r="S41" s="145"/>
      <c r="T41" s="145"/>
      <c r="U41" s="146"/>
    </row>
    <row r="42" spans="2:21" ht="13.5">
      <c r="B42" s="51"/>
      <c r="C42" s="180" t="s">
        <v>265</v>
      </c>
      <c r="D42" s="180"/>
      <c r="E42" s="180"/>
      <c r="F42" s="210">
        <v>4.75</v>
      </c>
      <c r="G42" s="52" t="s">
        <v>55</v>
      </c>
      <c r="I42" s="5"/>
      <c r="J42" s="190" t="s">
        <v>475</v>
      </c>
      <c r="K42" s="191"/>
      <c r="L42" s="218">
        <v>1</v>
      </c>
      <c r="M42" s="133" t="s">
        <v>318</v>
      </c>
      <c r="N42" s="6"/>
      <c r="P42" s="144" t="s">
        <v>505</v>
      </c>
      <c r="Q42" s="145"/>
      <c r="R42" s="145"/>
      <c r="S42" s="145"/>
      <c r="T42" s="145"/>
      <c r="U42" s="146"/>
    </row>
    <row r="43" spans="2:21" ht="13.5">
      <c r="B43" s="51"/>
      <c r="C43" s="180" t="s">
        <v>266</v>
      </c>
      <c r="D43" s="180"/>
      <c r="E43" s="180"/>
      <c r="F43" s="208">
        <v>10</v>
      </c>
      <c r="G43" s="52" t="s">
        <v>12</v>
      </c>
      <c r="I43" s="5"/>
      <c r="J43" s="190" t="s">
        <v>476</v>
      </c>
      <c r="K43" s="191"/>
      <c r="L43" s="219">
        <v>4</v>
      </c>
      <c r="M43" s="133" t="s">
        <v>12</v>
      </c>
      <c r="N43" s="6"/>
      <c r="P43" s="147" t="s">
        <v>506</v>
      </c>
      <c r="Q43" s="145"/>
      <c r="R43" s="145"/>
      <c r="S43" s="145"/>
      <c r="T43" s="145"/>
      <c r="U43" s="146"/>
    </row>
    <row r="44" spans="2:21" ht="13.5">
      <c r="B44" s="51"/>
      <c r="C44" s="196" t="s">
        <v>326</v>
      </c>
      <c r="D44" s="196"/>
      <c r="E44" s="196"/>
      <c r="F44" s="208">
        <v>1</v>
      </c>
      <c r="G44" s="52" t="s">
        <v>276</v>
      </c>
      <c r="I44" s="5"/>
      <c r="J44" s="190" t="s">
        <v>477</v>
      </c>
      <c r="K44" s="191"/>
      <c r="L44" s="217">
        <v>235</v>
      </c>
      <c r="M44" s="133" t="s">
        <v>12</v>
      </c>
      <c r="N44" s="6"/>
      <c r="P44" s="5"/>
      <c r="U44" s="6"/>
    </row>
    <row r="45" spans="2:21" ht="15.75" customHeight="1" thickBot="1">
      <c r="B45" s="58"/>
      <c r="C45" s="164" t="s">
        <v>346</v>
      </c>
      <c r="D45" s="164"/>
      <c r="E45" s="164"/>
      <c r="F45" s="211">
        <v>25</v>
      </c>
      <c r="G45" s="59" t="s">
        <v>12</v>
      </c>
      <c r="I45" s="62"/>
      <c r="J45" s="194" t="s">
        <v>478</v>
      </c>
      <c r="K45" s="195"/>
      <c r="L45" s="220">
        <v>236</v>
      </c>
      <c r="M45" s="134" t="s">
        <v>289</v>
      </c>
      <c r="N45" s="63"/>
      <c r="P45" s="138"/>
      <c r="Q45" s="139"/>
      <c r="R45" s="139"/>
      <c r="S45" s="139"/>
      <c r="T45" s="139"/>
      <c r="U45" s="140"/>
    </row>
    <row r="49" ht="15.75" customHeight="1"/>
    <row r="50" spans="2:12" ht="13.5">
      <c r="B50" s="1" t="s">
        <v>316</v>
      </c>
      <c r="C50" s="55"/>
      <c r="J50" s="193"/>
      <c r="K50" s="193"/>
      <c r="L50" s="193"/>
    </row>
    <row r="51" spans="10:12" ht="13.5">
      <c r="J51" s="193"/>
      <c r="K51" s="193"/>
      <c r="L51" s="193"/>
    </row>
    <row r="52" spans="10:12" ht="13.5">
      <c r="J52" s="193"/>
      <c r="K52" s="193"/>
      <c r="L52" s="193"/>
    </row>
    <row r="62" spans="3:5" ht="13.5">
      <c r="C62" s="145"/>
      <c r="D62" s="145"/>
      <c r="E62" s="145"/>
    </row>
    <row r="63" spans="3:5" ht="13.5">
      <c r="C63" s="193"/>
      <c r="D63" s="193"/>
      <c r="E63" s="193"/>
    </row>
  </sheetData>
  <sheetProtection password="CA9C" sheet="1" objects="1" scenarios="1" selectLockedCells="1"/>
  <mergeCells count="86">
    <mergeCell ref="P5:U5"/>
    <mergeCell ref="P7:U7"/>
    <mergeCell ref="P9:U9"/>
    <mergeCell ref="P8:U8"/>
    <mergeCell ref="P10:U10"/>
    <mergeCell ref="J33:K33"/>
    <mergeCell ref="C62:E62"/>
    <mergeCell ref="C63:E63"/>
    <mergeCell ref="C40:E40"/>
    <mergeCell ref="J50:L50"/>
    <mergeCell ref="J51:L51"/>
    <mergeCell ref="J52:L52"/>
    <mergeCell ref="J38:K38"/>
    <mergeCell ref="J39:K39"/>
    <mergeCell ref="J40:K40"/>
    <mergeCell ref="J42:K42"/>
    <mergeCell ref="J43:K43"/>
    <mergeCell ref="J44:K44"/>
    <mergeCell ref="J45:K45"/>
    <mergeCell ref="C44:E44"/>
    <mergeCell ref="C42:E42"/>
    <mergeCell ref="C43:E43"/>
    <mergeCell ref="C36:E36"/>
    <mergeCell ref="J35:K35"/>
    <mergeCell ref="J36:K36"/>
    <mergeCell ref="J37:K37"/>
    <mergeCell ref="J41:K41"/>
    <mergeCell ref="J32:K32"/>
    <mergeCell ref="J30:K30"/>
    <mergeCell ref="C26:E26"/>
    <mergeCell ref="C27:E27"/>
    <mergeCell ref="C28:E28"/>
    <mergeCell ref="C29:E29"/>
    <mergeCell ref="J31:K31"/>
    <mergeCell ref="C38:E38"/>
    <mergeCell ref="C39:E39"/>
    <mergeCell ref="C41:E41"/>
    <mergeCell ref="C30:E30"/>
    <mergeCell ref="C25:E25"/>
    <mergeCell ref="C33:E33"/>
    <mergeCell ref="C34:E34"/>
    <mergeCell ref="C24:E24"/>
    <mergeCell ref="C35:E35"/>
    <mergeCell ref="C37:E37"/>
    <mergeCell ref="P3:U3"/>
    <mergeCell ref="P11:U11"/>
    <mergeCell ref="P12:U12"/>
    <mergeCell ref="C45:E45"/>
    <mergeCell ref="B3:G3"/>
    <mergeCell ref="I3:N3"/>
    <mergeCell ref="C14:F14"/>
    <mergeCell ref="C18:E18"/>
    <mergeCell ref="J23:K23"/>
    <mergeCell ref="C19:E19"/>
    <mergeCell ref="C20:D20"/>
    <mergeCell ref="C21:D21"/>
    <mergeCell ref="J24:K24"/>
    <mergeCell ref="C23:E23"/>
    <mergeCell ref="J25:K25"/>
    <mergeCell ref="C31:E31"/>
    <mergeCell ref="J34:K34"/>
    <mergeCell ref="J21:J22"/>
    <mergeCell ref="P24:U24"/>
    <mergeCell ref="P25:U25"/>
    <mergeCell ref="P26:U26"/>
    <mergeCell ref="P27:U27"/>
    <mergeCell ref="P28:U28"/>
    <mergeCell ref="P29:U29"/>
    <mergeCell ref="P30:U30"/>
    <mergeCell ref="P31:U31"/>
    <mergeCell ref="P32:U32"/>
    <mergeCell ref="P33:U33"/>
    <mergeCell ref="J26:K26"/>
    <mergeCell ref="J27:K27"/>
    <mergeCell ref="J28:K28"/>
    <mergeCell ref="J29:K29"/>
    <mergeCell ref="P34:U34"/>
    <mergeCell ref="P35:U35"/>
    <mergeCell ref="P36:U36"/>
    <mergeCell ref="P37:U37"/>
    <mergeCell ref="P38:U38"/>
    <mergeCell ref="P39:U39"/>
    <mergeCell ref="P40:U40"/>
    <mergeCell ref="P41:U41"/>
    <mergeCell ref="P42:U42"/>
    <mergeCell ref="P43:U43"/>
  </mergeCells>
  <conditionalFormatting sqref="K8 L21">
    <cfRule type="expression" priority="8" dxfId="21" stopIfTrue="1">
      <formula>"""Y"""</formula>
    </cfRule>
    <cfRule type="expression" priority="9" dxfId="22" stopIfTrue="1">
      <formula>"""N"""</formula>
    </cfRule>
  </conditionalFormatting>
  <conditionalFormatting sqref="K8 L21">
    <cfRule type="containsText" priority="7" dxfId="0" operator="containsText" text="Y">
      <formula>NOT(ISERROR(SEARCH("Y",K8)))</formula>
    </cfRule>
  </conditionalFormatting>
  <dataValidations count="2">
    <dataValidation type="list" allowBlank="1" showInputMessage="1" showErrorMessage="1" sqref="K8">
      <formula1>"Arithmetic Growth Method (AM), Incremental Increase (IM), Geometric Growth Method (GM), Average of AM_IM_GM, Available Projected Data, Growth Rate based Projection"</formula1>
    </dataValidation>
    <dataValidation type="list" allowBlank="1" showInputMessage="1" showErrorMessage="1" sqref="L21">
      <formula1>"15, 30"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25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9.140625" style="290" customWidth="1"/>
    <col min="2" max="2" width="29.8515625" style="290" bestFit="1" customWidth="1"/>
    <col min="3" max="16384" width="9.140625" style="290" customWidth="1"/>
  </cols>
  <sheetData>
    <row r="2" spans="2:5" s="290" customFormat="1" ht="12.75">
      <c r="B2" s="289" t="s">
        <v>388</v>
      </c>
      <c r="C2" s="289"/>
      <c r="D2" s="289"/>
      <c r="E2" s="289"/>
    </row>
    <row r="3" spans="2:5" s="290" customFormat="1" ht="3" customHeight="1">
      <c r="B3" s="289"/>
      <c r="C3" s="289"/>
      <c r="D3" s="289"/>
      <c r="E3" s="289"/>
    </row>
    <row r="4" spans="2:5" s="290" customFormat="1" ht="12.75">
      <c r="B4" s="291" t="s">
        <v>383</v>
      </c>
      <c r="C4" s="292" t="s">
        <v>384</v>
      </c>
      <c r="D4" s="293" t="s">
        <v>8</v>
      </c>
      <c r="E4" s="289"/>
    </row>
    <row r="5" spans="2:4" s="290" customFormat="1" ht="12.75">
      <c r="B5" s="307" t="s">
        <v>349</v>
      </c>
      <c r="C5" s="309" t="s">
        <v>289</v>
      </c>
      <c r="D5" s="318">
        <f>'INPUT DATA'!F35</f>
        <v>20</v>
      </c>
    </row>
    <row r="6" spans="2:4" s="290" customFormat="1" ht="12.75">
      <c r="B6" s="307" t="s">
        <v>350</v>
      </c>
      <c r="C6" s="309" t="s">
        <v>289</v>
      </c>
      <c r="D6" s="318">
        <f>'INPUT DATA'!F37</f>
        <v>5.5</v>
      </c>
    </row>
    <row r="7" spans="2:4" s="290" customFormat="1" ht="12.75">
      <c r="B7" s="307" t="s">
        <v>351</v>
      </c>
      <c r="C7" s="309" t="s">
        <v>298</v>
      </c>
      <c r="D7" s="318">
        <f>ROUND('INPUT DATA'!F34,0)</f>
        <v>38</v>
      </c>
    </row>
    <row r="8" spans="2:4" s="290" customFormat="1" ht="12.75">
      <c r="B8" s="307" t="s">
        <v>352</v>
      </c>
      <c r="C8" s="309" t="s">
        <v>289</v>
      </c>
      <c r="D8" s="318">
        <f>D7*'INPUT DATA'!L41</f>
        <v>53200</v>
      </c>
    </row>
    <row r="9" spans="2:4" s="290" customFormat="1" ht="12.75">
      <c r="B9" s="307" t="s">
        <v>353</v>
      </c>
      <c r="C9" s="309" t="s">
        <v>289</v>
      </c>
      <c r="D9" s="318">
        <f>(D8*'INPUT DATA'!L42)/1000</f>
        <v>53.2</v>
      </c>
    </row>
    <row r="10" spans="2:4" s="290" customFormat="1" ht="12.75">
      <c r="B10" s="307" t="s">
        <v>354</v>
      </c>
      <c r="C10" s="309" t="s">
        <v>289</v>
      </c>
      <c r="D10" s="318">
        <v>4</v>
      </c>
    </row>
    <row r="11" spans="2:4" s="290" customFormat="1" ht="12.75">
      <c r="B11" s="307" t="s">
        <v>355</v>
      </c>
      <c r="C11" s="309" t="s">
        <v>289</v>
      </c>
      <c r="D11" s="318">
        <f>'INPUT DATA'!L45-'INPUT DATA'!L44</f>
        <v>1</v>
      </c>
    </row>
    <row r="12" spans="2:4" s="290" customFormat="1" ht="12.75">
      <c r="B12" s="307" t="s">
        <v>83</v>
      </c>
      <c r="C12" s="309" t="s">
        <v>289</v>
      </c>
      <c r="D12" s="318">
        <f>D5+D6+D10+D11+D9</f>
        <v>83.7</v>
      </c>
    </row>
    <row r="13" spans="2:4" s="290" customFormat="1" ht="12.75">
      <c r="B13" s="307" t="s">
        <v>356</v>
      </c>
      <c r="C13" s="309" t="s">
        <v>289</v>
      </c>
      <c r="D13" s="318">
        <f>ROUNDUP(D12,0)</f>
        <v>84</v>
      </c>
    </row>
    <row r="14" spans="2:4" s="290" customFormat="1" ht="12.75">
      <c r="B14" s="307" t="s">
        <v>357</v>
      </c>
      <c r="C14" s="309"/>
      <c r="D14" s="318">
        <f>'INPUT DATA'!F40</f>
        <v>2</v>
      </c>
    </row>
    <row r="15" spans="2:4" s="290" customFormat="1" ht="12.75">
      <c r="B15" s="307" t="s">
        <v>360</v>
      </c>
      <c r="C15" s="309" t="s">
        <v>10</v>
      </c>
      <c r="D15" s="318">
        <f>Demand!K21</f>
        <v>102</v>
      </c>
    </row>
    <row r="16" spans="2:4" s="290" customFormat="1" ht="12.75">
      <c r="B16" s="307" t="s">
        <v>19</v>
      </c>
      <c r="C16" s="309" t="s">
        <v>422</v>
      </c>
      <c r="D16" s="318">
        <f>'INPUT DATA'!F26</f>
        <v>23</v>
      </c>
    </row>
    <row r="17" spans="2:4" s="290" customFormat="1" ht="12.75">
      <c r="B17" s="307" t="s">
        <v>361</v>
      </c>
      <c r="C17" s="309" t="s">
        <v>84</v>
      </c>
      <c r="D17" s="318">
        <f>((D15/D14)*1000000)/(D16*60*60)</f>
        <v>615.9420289855072</v>
      </c>
    </row>
    <row r="18" spans="2:4" s="290" customFormat="1" ht="12.75">
      <c r="B18" s="307" t="s">
        <v>356</v>
      </c>
      <c r="C18" s="309" t="s">
        <v>84</v>
      </c>
      <c r="D18" s="318">
        <f>ROUNDUP(D17,0)</f>
        <v>616</v>
      </c>
    </row>
    <row r="19" spans="2:4" s="290" customFormat="1" ht="12.75">
      <c r="B19" s="307" t="s">
        <v>362</v>
      </c>
      <c r="C19" s="309"/>
      <c r="D19" s="318">
        <f>(D18*D13*100)/(102*'INPUT DATA'!L40)</f>
        <v>611.1977321048902</v>
      </c>
    </row>
    <row r="20" spans="2:4" s="290" customFormat="1" ht="12.75">
      <c r="B20" s="307" t="s">
        <v>363</v>
      </c>
      <c r="C20" s="309"/>
      <c r="D20" s="318">
        <f>IF(D19&gt;75,1.1,IF(D19&gt;15,1.15,IF(D19&gt;7.5,1.2,IF(D19&gt;3.7,1.3,IF(D19&gt;1.5,1.4,1.5)))))</f>
        <v>1.1</v>
      </c>
    </row>
    <row r="21" spans="2:4" s="290" customFormat="1" ht="12.75">
      <c r="B21" s="307" t="s">
        <v>364</v>
      </c>
      <c r="C21" s="309"/>
      <c r="D21" s="318">
        <f>D19*D20</f>
        <v>672.3175053153792</v>
      </c>
    </row>
    <row r="22" spans="2:4" s="290" customFormat="1" ht="12.75">
      <c r="B22" s="307" t="s">
        <v>365</v>
      </c>
      <c r="C22" s="309" t="s">
        <v>295</v>
      </c>
      <c r="D22" s="318">
        <f>CEILING(D21,10)</f>
        <v>680</v>
      </c>
    </row>
    <row r="23" spans="2:4" s="290" customFormat="1" ht="12.75">
      <c r="B23" s="307" t="s">
        <v>82</v>
      </c>
      <c r="C23" s="309" t="s">
        <v>423</v>
      </c>
      <c r="D23" s="318">
        <f>ROUNDUP(D14*'INPUT DATA'!F41%,0)</f>
        <v>1</v>
      </c>
    </row>
    <row r="24" spans="2:4" s="290" customFormat="1" ht="12.75">
      <c r="B24" s="307" t="s">
        <v>343</v>
      </c>
      <c r="C24" s="309" t="s">
        <v>423</v>
      </c>
      <c r="D24" s="318">
        <f>D14+D23</f>
        <v>3</v>
      </c>
    </row>
    <row r="25" spans="2:4" s="290" customFormat="1" ht="12.75">
      <c r="B25" s="313" t="s">
        <v>366</v>
      </c>
      <c r="C25" s="315" t="s">
        <v>295</v>
      </c>
      <c r="D25" s="386">
        <f>D24*D22</f>
        <v>2040</v>
      </c>
    </row>
  </sheetData>
  <sheetProtection password="CA9C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01"/>
  <sheetViews>
    <sheetView zoomScalePageLayoutView="0" workbookViewId="0" topLeftCell="A1">
      <selection activeCell="G112" sqref="G112"/>
    </sheetView>
  </sheetViews>
  <sheetFormatPr defaultColWidth="9.140625" defaultRowHeight="15"/>
  <cols>
    <col min="1" max="1" width="9.140625" style="74" customWidth="1"/>
    <col min="2" max="2" width="10.140625" style="74" customWidth="1"/>
    <col min="3" max="3" width="12.57421875" style="74" customWidth="1"/>
    <col min="4" max="4" width="15.57421875" style="74" bestFit="1" customWidth="1"/>
    <col min="5" max="5" width="12.7109375" style="74" customWidth="1"/>
    <col min="6" max="6" width="11.28125" style="74" customWidth="1"/>
    <col min="7" max="7" width="19.140625" style="74" customWidth="1"/>
    <col min="8" max="16384" width="9.140625" style="74" customWidth="1"/>
  </cols>
  <sheetData>
    <row r="2" spans="2:7" ht="12.75">
      <c r="B2" s="225" t="s">
        <v>389</v>
      </c>
      <c r="C2" s="226"/>
      <c r="D2" s="226"/>
      <c r="E2" s="226"/>
      <c r="F2" s="226"/>
      <c r="G2" s="226"/>
    </row>
    <row r="3" spans="2:7" ht="3" customHeight="1">
      <c r="B3" s="226"/>
      <c r="C3" s="226"/>
      <c r="D3" s="226"/>
      <c r="E3" s="226"/>
      <c r="F3" s="226"/>
      <c r="G3" s="226"/>
    </row>
    <row r="4" spans="2:7" ht="12.75">
      <c r="B4" s="227" t="s">
        <v>2</v>
      </c>
      <c r="C4" s="228" t="s">
        <v>1</v>
      </c>
      <c r="D4" s="228" t="s">
        <v>390</v>
      </c>
      <c r="E4" s="229" t="s">
        <v>391</v>
      </c>
      <c r="F4" s="226"/>
      <c r="G4" s="226"/>
    </row>
    <row r="5" spans="2:7" ht="12.75">
      <c r="B5" s="230"/>
      <c r="C5" s="231"/>
      <c r="D5" s="232" t="s">
        <v>10</v>
      </c>
      <c r="E5" s="233" t="s">
        <v>10</v>
      </c>
      <c r="F5" s="226"/>
      <c r="G5" s="226"/>
    </row>
    <row r="6" spans="2:7" ht="12.75">
      <c r="B6" s="234">
        <f>Demand!B6</f>
        <v>2011</v>
      </c>
      <c r="C6" s="235">
        <f>Demand!C6</f>
        <v>499438</v>
      </c>
      <c r="D6" s="236">
        <f>Demand!I6</f>
        <v>96.62859295397351</v>
      </c>
      <c r="E6" s="237">
        <f>Demand!K6</f>
        <v>15.578592953973512</v>
      </c>
      <c r="F6" s="226"/>
      <c r="G6" s="226"/>
    </row>
    <row r="7" spans="2:7" ht="12.75">
      <c r="B7" s="234">
        <f>Demand!B7</f>
        <v>2016</v>
      </c>
      <c r="C7" s="235">
        <f>Demand!C7</f>
        <v>591825.0318092334</v>
      </c>
      <c r="D7" s="236">
        <f>Demand!I7</f>
        <v>114.28767644007614</v>
      </c>
      <c r="E7" s="237">
        <f>Demand!K7</f>
        <v>53.500176440076146</v>
      </c>
      <c r="F7" s="226"/>
      <c r="G7" s="226"/>
    </row>
    <row r="8" spans="2:7" ht="12.75">
      <c r="B8" s="234">
        <f>Demand!B8</f>
        <v>2021</v>
      </c>
      <c r="C8" s="235">
        <f>Demand!C8</f>
        <v>701302</v>
      </c>
      <c r="D8" s="236">
        <f>Demand!I8</f>
        <v>125.72671171669155</v>
      </c>
      <c r="E8" s="237">
        <f>Demand!K8</f>
        <v>80.13608671669155</v>
      </c>
      <c r="F8" s="226"/>
      <c r="G8" s="226"/>
    </row>
    <row r="9" spans="2:7" ht="12.75">
      <c r="B9" s="234">
        <f>Demand!B9</f>
        <v>2026</v>
      </c>
      <c r="C9" s="235">
        <f>Demand!C9</f>
        <v>820406.9608919708</v>
      </c>
      <c r="D9" s="236">
        <f>Demand!I9</f>
        <v>135.77020237355208</v>
      </c>
      <c r="E9" s="237">
        <f>Demand!K9</f>
        <v>101.57723362355208</v>
      </c>
      <c r="F9" s="226"/>
      <c r="G9" s="226"/>
    </row>
    <row r="10" spans="2:7" ht="12.75">
      <c r="B10" s="234">
        <f>Demand!B10</f>
        <v>2031</v>
      </c>
      <c r="C10" s="235">
        <f>Demand!C10</f>
        <v>959740</v>
      </c>
      <c r="D10" s="236">
        <f>Demand!I10</f>
        <v>152.09760207535763</v>
      </c>
      <c r="E10" s="237">
        <f>Demand!K10</f>
        <v>126.45287551285763</v>
      </c>
      <c r="F10" s="226"/>
      <c r="G10" s="226"/>
    </row>
    <row r="11" spans="2:7" ht="12.75">
      <c r="B11" s="234">
        <f>Demand!B11</f>
        <v>2036</v>
      </c>
      <c r="C11" s="235">
        <f>Demand!C11</f>
        <v>1106087.9189648535</v>
      </c>
      <c r="D11" s="236">
        <f>Demand!I11</f>
        <v>194.1259560312918</v>
      </c>
      <c r="E11" s="237">
        <f>Demand!K11</f>
        <v>174.8924111094168</v>
      </c>
      <c r="F11" s="226"/>
      <c r="G11" s="226"/>
    </row>
    <row r="12" spans="2:7" ht="12.75">
      <c r="B12" s="238">
        <f>Demand!B12</f>
        <v>2041</v>
      </c>
      <c r="C12" s="239">
        <f>Demand!C12</f>
        <v>1274752</v>
      </c>
      <c r="D12" s="240">
        <f>Demand!I12</f>
        <v>223.4650869279221</v>
      </c>
      <c r="E12" s="241">
        <f>Demand!K12</f>
        <v>209.03992823651586</v>
      </c>
      <c r="F12" s="226"/>
      <c r="G12" s="226"/>
    </row>
    <row r="13" spans="2:7" ht="12.75">
      <c r="B13" s="226" t="s">
        <v>418</v>
      </c>
      <c r="C13" s="226"/>
      <c r="D13" s="226"/>
      <c r="E13" s="226"/>
      <c r="F13" s="226"/>
      <c r="G13" s="226"/>
    </row>
    <row r="14" spans="2:7" ht="12.75">
      <c r="B14" s="226" t="s">
        <v>393</v>
      </c>
      <c r="C14" s="226"/>
      <c r="D14" s="226"/>
      <c r="E14" s="226"/>
      <c r="F14" s="226"/>
      <c r="G14" s="226"/>
    </row>
    <row r="15" spans="2:7" ht="12.75">
      <c r="B15" s="226" t="s">
        <v>392</v>
      </c>
      <c r="C15" s="226"/>
      <c r="D15" s="226"/>
      <c r="E15" s="226"/>
      <c r="F15" s="226"/>
      <c r="G15" s="226"/>
    </row>
    <row r="16" spans="2:7" ht="12.75">
      <c r="B16" s="226"/>
      <c r="C16" s="226"/>
      <c r="D16" s="226"/>
      <c r="E16" s="226"/>
      <c r="F16" s="226"/>
      <c r="G16" s="226"/>
    </row>
    <row r="17" spans="2:7" ht="12.75">
      <c r="B17" s="226"/>
      <c r="C17" s="226"/>
      <c r="D17" s="226"/>
      <c r="E17" s="226"/>
      <c r="F17" s="226"/>
      <c r="G17" s="226"/>
    </row>
    <row r="18" spans="2:7" ht="12.75">
      <c r="B18" s="225" t="s">
        <v>396</v>
      </c>
      <c r="C18" s="226"/>
      <c r="D18" s="226"/>
      <c r="E18" s="226"/>
      <c r="F18" s="226"/>
      <c r="G18" s="226"/>
    </row>
    <row r="19" spans="2:7" ht="2.25" customHeight="1">
      <c r="B19" s="226"/>
      <c r="C19" s="226"/>
      <c r="D19" s="226"/>
      <c r="E19" s="226"/>
      <c r="F19" s="226"/>
      <c r="G19" s="226"/>
    </row>
    <row r="20" spans="2:7" ht="12.75">
      <c r="B20" s="242" t="s">
        <v>397</v>
      </c>
      <c r="C20" s="243"/>
      <c r="D20" s="243"/>
      <c r="E20" s="244"/>
      <c r="F20" s="228" t="s">
        <v>293</v>
      </c>
      <c r="G20" s="229" t="s">
        <v>398</v>
      </c>
    </row>
    <row r="21" spans="2:7" ht="12.75">
      <c r="B21" s="245" t="s">
        <v>404</v>
      </c>
      <c r="C21" s="246"/>
      <c r="D21" s="246"/>
      <c r="E21" s="247"/>
      <c r="F21" s="248"/>
      <c r="G21" s="249"/>
    </row>
    <row r="22" spans="2:7" ht="12.75">
      <c r="B22" s="250" t="s">
        <v>411</v>
      </c>
      <c r="C22" s="251"/>
      <c r="D22" s="251"/>
      <c r="E22" s="252"/>
      <c r="F22" s="253" t="str">
        <f>Demand!J23</f>
        <v>MLD</v>
      </c>
      <c r="G22" s="254">
        <f>Demand!K23</f>
        <v>220</v>
      </c>
    </row>
    <row r="23" spans="2:7" ht="12.75">
      <c r="B23" s="255" t="s">
        <v>415</v>
      </c>
      <c r="C23" s="251"/>
      <c r="D23" s="251"/>
      <c r="E23" s="252"/>
      <c r="F23" s="253"/>
      <c r="G23" s="254"/>
    </row>
    <row r="24" spans="2:7" ht="12.75">
      <c r="B24" s="250" t="s">
        <v>408</v>
      </c>
      <c r="C24" s="251"/>
      <c r="D24" s="251"/>
      <c r="E24" s="252"/>
      <c r="F24" s="253" t="str">
        <f>Demand!J18</f>
        <v>MLD</v>
      </c>
      <c r="G24" s="254">
        <f>Demand!K18</f>
        <v>210</v>
      </c>
    </row>
    <row r="25" spans="2:7" ht="12.75">
      <c r="B25" s="256" t="str">
        <f>Demand!B19</f>
        <v>Land requirement for WTP ( including for CWR and RWPS/CWPS)</v>
      </c>
      <c r="C25" s="251"/>
      <c r="D25" s="251"/>
      <c r="E25" s="252"/>
      <c r="F25" s="253" t="str">
        <f>Demand!J19</f>
        <v>ha</v>
      </c>
      <c r="G25" s="254">
        <f>Demand!K19</f>
        <v>13</v>
      </c>
    </row>
    <row r="26" spans="2:7" ht="12.75">
      <c r="B26" s="255" t="s">
        <v>416</v>
      </c>
      <c r="C26" s="251"/>
      <c r="D26" s="251"/>
      <c r="E26" s="252"/>
      <c r="F26" s="253"/>
      <c r="G26" s="254"/>
    </row>
    <row r="27" spans="2:7" ht="12.75">
      <c r="B27" s="257" t="s">
        <v>409</v>
      </c>
      <c r="C27" s="258"/>
      <c r="D27" s="258"/>
      <c r="E27" s="259"/>
      <c r="F27" s="253" t="str">
        <f>Demand!J21</f>
        <v>MLD</v>
      </c>
      <c r="G27" s="237">
        <f>Demand!K21</f>
        <v>102</v>
      </c>
    </row>
    <row r="28" spans="2:7" ht="12.75">
      <c r="B28" s="260" t="s">
        <v>410</v>
      </c>
      <c r="C28" s="261"/>
      <c r="D28" s="261"/>
      <c r="E28" s="262"/>
      <c r="F28" s="263" t="str">
        <f>Demand!J22</f>
        <v>MLD</v>
      </c>
      <c r="G28" s="241">
        <f>Demand!K22</f>
        <v>108</v>
      </c>
    </row>
    <row r="29" spans="2:7" ht="12.75">
      <c r="B29" s="226" t="s">
        <v>418</v>
      </c>
      <c r="C29" s="226"/>
      <c r="D29" s="226"/>
      <c r="E29" s="226"/>
      <c r="F29" s="226"/>
      <c r="G29" s="226"/>
    </row>
    <row r="30" spans="2:7" ht="12.75">
      <c r="B30" s="226"/>
      <c r="C30" s="226"/>
      <c r="D30" s="226"/>
      <c r="E30" s="226"/>
      <c r="F30" s="226"/>
      <c r="G30" s="226"/>
    </row>
    <row r="31" spans="2:7" ht="12.75">
      <c r="B31" s="226"/>
      <c r="C31" s="226"/>
      <c r="D31" s="226"/>
      <c r="E31" s="226"/>
      <c r="F31" s="226"/>
      <c r="G31" s="226"/>
    </row>
    <row r="32" spans="2:7" ht="12.75">
      <c r="B32" s="225" t="s">
        <v>417</v>
      </c>
      <c r="C32" s="226"/>
      <c r="D32" s="226"/>
      <c r="E32" s="226"/>
      <c r="F32" s="226"/>
      <c r="G32" s="226"/>
    </row>
    <row r="33" spans="2:7" ht="2.25" customHeight="1">
      <c r="B33" s="226"/>
      <c r="C33" s="226"/>
      <c r="D33" s="226"/>
      <c r="E33" s="226"/>
      <c r="F33" s="226"/>
      <c r="G33" s="226"/>
    </row>
    <row r="34" spans="2:7" ht="12.75">
      <c r="B34" s="242" t="s">
        <v>397</v>
      </c>
      <c r="C34" s="243"/>
      <c r="D34" s="243"/>
      <c r="E34" s="244"/>
      <c r="F34" s="228" t="s">
        <v>293</v>
      </c>
      <c r="G34" s="229" t="s">
        <v>398</v>
      </c>
    </row>
    <row r="35" spans="2:7" ht="12.75">
      <c r="B35" s="255" t="s">
        <v>419</v>
      </c>
      <c r="C35" s="251"/>
      <c r="D35" s="251"/>
      <c r="E35" s="252"/>
      <c r="F35" s="231"/>
      <c r="G35" s="264"/>
    </row>
    <row r="36" spans="2:7" ht="12.75">
      <c r="B36" s="256" t="str">
        <f>RWPS!B13</f>
        <v>No of working pumps</v>
      </c>
      <c r="C36" s="251"/>
      <c r="D36" s="251"/>
      <c r="E36" s="252"/>
      <c r="F36" s="265" t="str">
        <f>RWPS!C13</f>
        <v>No,s</v>
      </c>
      <c r="G36" s="266">
        <f>RWPS!D13</f>
        <v>4</v>
      </c>
    </row>
    <row r="37" spans="2:7" ht="12.75">
      <c r="B37" s="256" t="str">
        <f>RWPS!B14</f>
        <v>No of Standby pumps</v>
      </c>
      <c r="C37" s="251"/>
      <c r="D37" s="251"/>
      <c r="E37" s="252"/>
      <c r="F37" s="265" t="str">
        <f>RWPS!C15</f>
        <v>No,s</v>
      </c>
      <c r="G37" s="266">
        <f>RWPS!D15</f>
        <v>2</v>
      </c>
    </row>
    <row r="38" spans="2:7" ht="12.75">
      <c r="B38" s="256" t="str">
        <f>RWPS!B16</f>
        <v>Pumping Hours</v>
      </c>
      <c r="C38" s="251"/>
      <c r="D38" s="251"/>
      <c r="E38" s="252"/>
      <c r="F38" s="265" t="str">
        <f>RWPS!C16</f>
        <v>hours</v>
      </c>
      <c r="G38" s="266">
        <f>RWPS!D16</f>
        <v>23</v>
      </c>
    </row>
    <row r="39" spans="2:7" ht="12.75">
      <c r="B39" s="256" t="str">
        <f>RWPS!B17</f>
        <v>Discharge per pump, with respect to pumping hours</v>
      </c>
      <c r="C39" s="251"/>
      <c r="D39" s="251"/>
      <c r="E39" s="252"/>
      <c r="F39" s="267" t="str">
        <f>RWPS!C18</f>
        <v>LPS</v>
      </c>
      <c r="G39" s="266">
        <f>ROUNDUP(RWPS!D18,0)</f>
        <v>296</v>
      </c>
    </row>
    <row r="40" spans="2:7" ht="12.75">
      <c r="B40" s="256" t="str">
        <f>RWPS!B10</f>
        <v>Total Pumping Head</v>
      </c>
      <c r="C40" s="251"/>
      <c r="D40" s="251"/>
      <c r="E40" s="252"/>
      <c r="F40" s="267" t="str">
        <f>RWPS!C11</f>
        <v>m</v>
      </c>
      <c r="G40" s="266">
        <f>RWPS!D11</f>
        <v>7</v>
      </c>
    </row>
    <row r="41" spans="2:7" ht="12.75">
      <c r="B41" s="268" t="str">
        <f>RWPS!B20</f>
        <v>Pump kilowatt</v>
      </c>
      <c r="C41" s="251"/>
      <c r="D41" s="251"/>
      <c r="E41" s="252"/>
      <c r="F41" s="265" t="str">
        <f>RWPS!C20</f>
        <v>KW</v>
      </c>
      <c r="G41" s="266">
        <f>RWPS!D23</f>
        <v>30</v>
      </c>
    </row>
    <row r="42" spans="2:7" ht="12.75">
      <c r="B42" s="256" t="str">
        <f>RWPS!B24</f>
        <v>Total No of Pumps</v>
      </c>
      <c r="C42" s="251"/>
      <c r="D42" s="251"/>
      <c r="E42" s="252"/>
      <c r="F42" s="267" t="str">
        <f>RWPS!C24</f>
        <v>No,s</v>
      </c>
      <c r="G42" s="266">
        <f>RWPS!D24</f>
        <v>6</v>
      </c>
    </row>
    <row r="43" spans="2:7" ht="13.5" customHeight="1">
      <c r="B43" s="269" t="str">
        <f>RWPS!B25</f>
        <v>Total Kilowatt</v>
      </c>
      <c r="C43" s="258"/>
      <c r="D43" s="258"/>
      <c r="E43" s="259"/>
      <c r="F43" s="267" t="str">
        <f>RWPS!C25</f>
        <v>KW</v>
      </c>
      <c r="G43" s="266">
        <f>RWPS!D25</f>
        <v>180</v>
      </c>
    </row>
    <row r="44" spans="2:7" ht="1.5" customHeight="1">
      <c r="B44" s="269"/>
      <c r="C44" s="258"/>
      <c r="D44" s="258"/>
      <c r="E44" s="259"/>
      <c r="F44" s="267"/>
      <c r="G44" s="266"/>
    </row>
    <row r="45" spans="2:7" ht="12.75">
      <c r="B45" s="255" t="s">
        <v>302</v>
      </c>
      <c r="C45" s="258"/>
      <c r="D45" s="258"/>
      <c r="E45" s="259"/>
      <c r="F45" s="267"/>
      <c r="G45" s="266"/>
    </row>
    <row r="46" spans="2:7" ht="12.75">
      <c r="B46" s="256" t="s">
        <v>81</v>
      </c>
      <c r="C46" s="258"/>
      <c r="D46" s="258"/>
      <c r="E46" s="259"/>
      <c r="F46" s="267" t="str">
        <f>CWPS!C24</f>
        <v>no,s</v>
      </c>
      <c r="G46" s="266">
        <f>CWPS!D24-CWPS!D23</f>
        <v>2</v>
      </c>
    </row>
    <row r="47" spans="2:7" ht="12.75">
      <c r="B47" s="256" t="s">
        <v>421</v>
      </c>
      <c r="C47" s="258"/>
      <c r="D47" s="258"/>
      <c r="E47" s="259"/>
      <c r="F47" s="267" t="str">
        <f>CWPS!C23</f>
        <v>no,s</v>
      </c>
      <c r="G47" s="266">
        <f>CWPS!D23</f>
        <v>1</v>
      </c>
    </row>
    <row r="48" spans="2:7" ht="12.75">
      <c r="B48" s="256" t="s">
        <v>19</v>
      </c>
      <c r="C48" s="258"/>
      <c r="D48" s="258"/>
      <c r="E48" s="259"/>
      <c r="F48" s="267" t="str">
        <f>CWPS!C16</f>
        <v>hours</v>
      </c>
      <c r="G48" s="266">
        <f>CWPS!D16</f>
        <v>23</v>
      </c>
    </row>
    <row r="49" spans="2:7" ht="12.75">
      <c r="B49" s="256" t="s">
        <v>335</v>
      </c>
      <c r="C49" s="258"/>
      <c r="D49" s="258"/>
      <c r="E49" s="259"/>
      <c r="F49" s="267" t="str">
        <f>CWPS!C18</f>
        <v>LPS</v>
      </c>
      <c r="G49" s="266">
        <f>CWPS!D18</f>
        <v>616</v>
      </c>
    </row>
    <row r="50" spans="2:7" ht="12.75">
      <c r="B50" s="256" t="s">
        <v>83</v>
      </c>
      <c r="C50" s="258"/>
      <c r="D50" s="258"/>
      <c r="E50" s="259"/>
      <c r="F50" s="270" t="str">
        <f>CWPS!C12</f>
        <v>m</v>
      </c>
      <c r="G50" s="271">
        <f>CWPS!D12</f>
        <v>83.7</v>
      </c>
    </row>
    <row r="51" spans="2:7" ht="12.75">
      <c r="B51" s="268" t="s">
        <v>424</v>
      </c>
      <c r="C51" s="272"/>
      <c r="D51" s="272"/>
      <c r="E51" s="273"/>
      <c r="F51" s="274" t="str">
        <f>CWPS!C22</f>
        <v>KW</v>
      </c>
      <c r="G51" s="275">
        <f>CWPS!D22</f>
        <v>680</v>
      </c>
    </row>
    <row r="52" spans="2:7" ht="12.75">
      <c r="B52" s="256" t="s">
        <v>343</v>
      </c>
      <c r="C52" s="272"/>
      <c r="D52" s="272"/>
      <c r="E52" s="273"/>
      <c r="F52" s="274" t="s">
        <v>423</v>
      </c>
      <c r="G52" s="275">
        <f>CWPS!D24</f>
        <v>3</v>
      </c>
    </row>
    <row r="53" spans="2:7" ht="12.75">
      <c r="B53" s="276" t="s">
        <v>342</v>
      </c>
      <c r="C53" s="277"/>
      <c r="D53" s="277"/>
      <c r="E53" s="278"/>
      <c r="F53" s="279" t="str">
        <f>CWPS!C25</f>
        <v>KW</v>
      </c>
      <c r="G53" s="280">
        <f>CWPS!D25</f>
        <v>2040</v>
      </c>
    </row>
    <row r="54" spans="2:7" ht="12.75">
      <c r="B54" s="226" t="s">
        <v>418</v>
      </c>
      <c r="C54" s="226"/>
      <c r="D54" s="226"/>
      <c r="E54" s="226"/>
      <c r="F54" s="226"/>
      <c r="G54" s="226"/>
    </row>
    <row r="55" spans="2:7" ht="12.75">
      <c r="B55" s="226"/>
      <c r="C55" s="226"/>
      <c r="D55" s="226"/>
      <c r="E55" s="226"/>
      <c r="F55" s="226"/>
      <c r="G55" s="226"/>
    </row>
    <row r="56" spans="2:7" ht="12.75">
      <c r="B56" s="225" t="s">
        <v>425</v>
      </c>
      <c r="C56" s="226"/>
      <c r="D56" s="226"/>
      <c r="E56" s="226"/>
      <c r="F56" s="226"/>
      <c r="G56" s="226"/>
    </row>
    <row r="57" spans="2:7" ht="2.25" customHeight="1">
      <c r="B57" s="226"/>
      <c r="C57" s="226"/>
      <c r="D57" s="226"/>
      <c r="E57" s="226"/>
      <c r="F57" s="226"/>
      <c r="G57" s="226"/>
    </row>
    <row r="58" spans="2:7" ht="12.75">
      <c r="B58" s="242" t="s">
        <v>397</v>
      </c>
      <c r="C58" s="243"/>
      <c r="D58" s="243"/>
      <c r="E58" s="244"/>
      <c r="F58" s="228" t="s">
        <v>293</v>
      </c>
      <c r="G58" s="229" t="s">
        <v>398</v>
      </c>
    </row>
    <row r="59" spans="2:7" ht="12.75">
      <c r="B59" s="245" t="s">
        <v>426</v>
      </c>
      <c r="C59" s="246"/>
      <c r="D59" s="246"/>
      <c r="E59" s="247"/>
      <c r="F59" s="248"/>
      <c r="G59" s="249"/>
    </row>
    <row r="60" spans="2:7" ht="12.75">
      <c r="B60" s="250" t="s">
        <v>427</v>
      </c>
      <c r="C60" s="251"/>
      <c r="D60" s="251"/>
      <c r="E60" s="252"/>
      <c r="F60" s="253" t="str">
        <f>'RM Design 1'!I204</f>
        <v>m</v>
      </c>
      <c r="G60" s="253">
        <f>'RM Design 1'!H204</f>
        <v>50</v>
      </c>
    </row>
    <row r="61" spans="2:7" ht="12.75">
      <c r="B61" s="250" t="s">
        <v>428</v>
      </c>
      <c r="C61" s="251"/>
      <c r="D61" s="251"/>
      <c r="E61" s="252"/>
      <c r="F61" s="253" t="str">
        <f>'RM Design 1'!I202</f>
        <v>mm</v>
      </c>
      <c r="G61" s="254">
        <f>'RM Design 1'!H202</f>
        <v>600</v>
      </c>
    </row>
    <row r="62" spans="2:7" ht="12.75">
      <c r="B62" s="250" t="s">
        <v>429</v>
      </c>
      <c r="C62" s="251"/>
      <c r="D62" s="251"/>
      <c r="E62" s="252"/>
      <c r="F62" s="253"/>
      <c r="G62" s="254" t="str">
        <f>'RM Design 1'!H205</f>
        <v>DI K7</v>
      </c>
    </row>
    <row r="63" spans="2:7" ht="2.25" customHeight="1">
      <c r="B63" s="256"/>
      <c r="C63" s="251"/>
      <c r="D63" s="251"/>
      <c r="E63" s="252"/>
      <c r="F63" s="253"/>
      <c r="G63" s="254"/>
    </row>
    <row r="64" spans="2:7" ht="12.75">
      <c r="B64" s="245" t="s">
        <v>433</v>
      </c>
      <c r="C64" s="251"/>
      <c r="D64" s="251"/>
      <c r="E64" s="252"/>
      <c r="F64" s="253"/>
      <c r="G64" s="254"/>
    </row>
    <row r="65" spans="2:7" ht="12.75">
      <c r="B65" s="245" t="s">
        <v>434</v>
      </c>
      <c r="C65" s="251"/>
      <c r="D65" s="251"/>
      <c r="E65" s="252"/>
      <c r="F65" s="253" t="s">
        <v>420</v>
      </c>
      <c r="G65" s="281">
        <f>CWPS!D7</f>
        <v>38</v>
      </c>
    </row>
    <row r="66" spans="2:7" ht="12.75">
      <c r="B66" s="245" t="s">
        <v>435</v>
      </c>
      <c r="C66" s="251"/>
      <c r="D66" s="251"/>
      <c r="E66" s="252"/>
      <c r="F66" s="253" t="s">
        <v>420</v>
      </c>
      <c r="G66" s="281">
        <f>CWPS!D7</f>
        <v>38</v>
      </c>
    </row>
    <row r="67" spans="2:7" ht="12.75">
      <c r="B67" s="250" t="s">
        <v>436</v>
      </c>
      <c r="C67" s="251"/>
      <c r="D67" s="251"/>
      <c r="E67" s="252"/>
      <c r="F67" s="253" t="str">
        <f>CWPS!C8</f>
        <v>m</v>
      </c>
      <c r="G67" s="281">
        <f>CWPS!D8</f>
        <v>53200</v>
      </c>
    </row>
    <row r="68" spans="2:7" ht="12.75">
      <c r="B68" s="250" t="s">
        <v>428</v>
      </c>
      <c r="C68" s="251"/>
      <c r="D68" s="251"/>
      <c r="E68" s="252"/>
      <c r="F68" s="253"/>
      <c r="G68" s="254"/>
    </row>
    <row r="69" spans="2:7" ht="12.75">
      <c r="B69" s="260" t="s">
        <v>429</v>
      </c>
      <c r="C69" s="261"/>
      <c r="D69" s="261"/>
      <c r="E69" s="262"/>
      <c r="F69" s="263"/>
      <c r="G69" s="241" t="str">
        <f>G62</f>
        <v>DI K7</v>
      </c>
    </row>
    <row r="70" spans="2:7" ht="12.75">
      <c r="B70" s="226" t="s">
        <v>418</v>
      </c>
      <c r="C70" s="226"/>
      <c r="D70" s="226"/>
      <c r="E70" s="226"/>
      <c r="F70" s="226"/>
      <c r="G70" s="226"/>
    </row>
    <row r="71" spans="2:7" ht="12.75">
      <c r="B71" s="226"/>
      <c r="C71" s="226"/>
      <c r="D71" s="226"/>
      <c r="E71" s="226"/>
      <c r="F71" s="226"/>
      <c r="G71" s="226"/>
    </row>
    <row r="72" spans="2:7" ht="12.75">
      <c r="B72" s="225" t="s">
        <v>437</v>
      </c>
      <c r="C72" s="226"/>
      <c r="D72" s="226"/>
      <c r="E72" s="226"/>
      <c r="F72" s="226"/>
      <c r="G72" s="226"/>
    </row>
    <row r="73" spans="2:7" ht="2.25" customHeight="1">
      <c r="B73" s="226"/>
      <c r="C73" s="226"/>
      <c r="D73" s="226"/>
      <c r="E73" s="226"/>
      <c r="F73" s="226"/>
      <c r="G73" s="226"/>
    </row>
    <row r="74" spans="2:7" ht="12.75">
      <c r="B74" s="242" t="s">
        <v>397</v>
      </c>
      <c r="C74" s="243"/>
      <c r="D74" s="243"/>
      <c r="E74" s="244"/>
      <c r="F74" s="228" t="s">
        <v>293</v>
      </c>
      <c r="G74" s="229" t="s">
        <v>398</v>
      </c>
    </row>
    <row r="75" spans="2:7" ht="12.75">
      <c r="B75" s="255" t="s">
        <v>438</v>
      </c>
      <c r="C75" s="251"/>
      <c r="D75" s="251"/>
      <c r="E75" s="252"/>
      <c r="F75" s="231"/>
      <c r="G75" s="264"/>
    </row>
    <row r="76" spans="2:7" ht="12.75">
      <c r="B76" s="250" t="s">
        <v>408</v>
      </c>
      <c r="C76" s="251"/>
      <c r="D76" s="251"/>
      <c r="E76" s="252"/>
      <c r="F76" s="253" t="str">
        <f>CWRs!D5</f>
        <v>ML</v>
      </c>
      <c r="G76" s="266">
        <f>CWRs!D7</f>
        <v>16.294329255160985</v>
      </c>
    </row>
    <row r="77" spans="2:7" ht="12.75">
      <c r="B77" s="250" t="s">
        <v>439</v>
      </c>
      <c r="C77" s="251"/>
      <c r="D77" s="251"/>
      <c r="E77" s="252"/>
      <c r="F77" s="253" t="str">
        <f>CWRs!E5</f>
        <v>ML</v>
      </c>
      <c r="G77" s="266">
        <f>CWRs!E7</f>
        <v>6.75</v>
      </c>
    </row>
    <row r="78" spans="2:7" ht="12.75">
      <c r="B78" s="250" t="s">
        <v>440</v>
      </c>
      <c r="C78" s="251"/>
      <c r="D78" s="251"/>
      <c r="E78" s="252"/>
      <c r="F78" s="253" t="str">
        <f>CWRs!F5</f>
        <v>ML</v>
      </c>
      <c r="G78" s="266">
        <f>IF(CWRs!F7&lt;0,0,CWRs!F7)</f>
        <v>9.544329255160985</v>
      </c>
    </row>
    <row r="79" spans="2:7" ht="12.75">
      <c r="B79" s="255" t="s">
        <v>441</v>
      </c>
      <c r="C79" s="251"/>
      <c r="D79" s="251"/>
      <c r="E79" s="252"/>
      <c r="F79" s="253"/>
      <c r="G79" s="266"/>
    </row>
    <row r="80" spans="2:7" ht="12.75">
      <c r="B80" s="255" t="s">
        <v>409</v>
      </c>
      <c r="C80" s="251"/>
      <c r="D80" s="251"/>
      <c r="E80" s="252"/>
      <c r="F80" s="253" t="str">
        <f>CWRs!F5</f>
        <v>ML</v>
      </c>
      <c r="G80" s="266">
        <f>IF(CWRs!F6&lt;0,0,CWRs!F6)</f>
        <v>4.5641835311293395</v>
      </c>
    </row>
    <row r="81" spans="2:7" ht="12.75">
      <c r="B81" s="255" t="s">
        <v>410</v>
      </c>
      <c r="C81" s="251"/>
      <c r="D81" s="251"/>
      <c r="E81" s="252"/>
      <c r="F81" s="253" t="str">
        <f>CWRs!F5</f>
        <v>ML</v>
      </c>
      <c r="G81" s="266">
        <f>G78-G80</f>
        <v>4.980145724031646</v>
      </c>
    </row>
    <row r="82" spans="2:7" ht="12.75">
      <c r="B82" s="255"/>
      <c r="C82" s="251"/>
      <c r="D82" s="251"/>
      <c r="E82" s="252"/>
      <c r="F82" s="253"/>
      <c r="G82" s="266"/>
    </row>
    <row r="83" spans="2:7" ht="12.75">
      <c r="B83" s="255" t="s">
        <v>442</v>
      </c>
      <c r="C83" s="251"/>
      <c r="D83" s="251"/>
      <c r="E83" s="252"/>
      <c r="F83" s="253"/>
      <c r="G83" s="266"/>
    </row>
    <row r="84" spans="2:7" ht="12.75">
      <c r="B84" s="255" t="s">
        <v>449</v>
      </c>
      <c r="C84" s="251"/>
      <c r="D84" s="251"/>
      <c r="E84" s="252"/>
      <c r="F84" s="253" t="str">
        <f>OHSRs!D5</f>
        <v>ML</v>
      </c>
      <c r="G84" s="266">
        <f>OHSRs!D7</f>
        <v>67.03952607837662</v>
      </c>
    </row>
    <row r="85" spans="2:7" ht="12.75">
      <c r="B85" s="255" t="s">
        <v>450</v>
      </c>
      <c r="C85" s="251"/>
      <c r="D85" s="251"/>
      <c r="E85" s="252"/>
      <c r="F85" s="253" t="str">
        <f>OHSRs!E5</f>
        <v>ML</v>
      </c>
      <c r="G85" s="266">
        <f>OHSRs!E6</f>
        <v>2.65</v>
      </c>
    </row>
    <row r="86" spans="2:7" ht="12.75">
      <c r="B86" s="255" t="s">
        <v>451</v>
      </c>
      <c r="C86" s="251"/>
      <c r="D86" s="251"/>
      <c r="E86" s="252"/>
      <c r="F86" s="253" t="str">
        <f>OHSRs!F5</f>
        <v>ML</v>
      </c>
      <c r="G86" s="266">
        <f>OHSRs!F7</f>
        <v>64.38952607837662</v>
      </c>
    </row>
    <row r="87" spans="2:7" ht="12.75">
      <c r="B87" s="255" t="s">
        <v>434</v>
      </c>
      <c r="C87" s="251"/>
      <c r="D87" s="251"/>
      <c r="E87" s="252"/>
      <c r="F87" s="253" t="str">
        <f>OHSRs!H14</f>
        <v>No,s</v>
      </c>
      <c r="G87" s="282">
        <f>OHSRs!G14</f>
        <v>38</v>
      </c>
    </row>
    <row r="88" spans="2:7" ht="12.75">
      <c r="B88" s="255" t="str">
        <f>OHSRs!B9</f>
        <v>Recommeded Average Capacity of OHSR</v>
      </c>
      <c r="C88" s="251"/>
      <c r="D88" s="251"/>
      <c r="E88" s="252"/>
      <c r="F88" s="253" t="str">
        <f>OHSRs!H9</f>
        <v>ML</v>
      </c>
      <c r="G88" s="283">
        <f>OHSRs!G9</f>
        <v>1.75</v>
      </c>
    </row>
    <row r="89" spans="2:7" ht="12.75">
      <c r="B89" s="255" t="s">
        <v>452</v>
      </c>
      <c r="C89" s="251"/>
      <c r="D89" s="251"/>
      <c r="E89" s="252"/>
      <c r="F89" s="253"/>
      <c r="G89" s="266"/>
    </row>
    <row r="90" spans="2:7" ht="12.75">
      <c r="B90" s="255" t="s">
        <v>405</v>
      </c>
      <c r="C90" s="251"/>
      <c r="D90" s="251"/>
      <c r="E90" s="252"/>
      <c r="F90" s="253"/>
      <c r="G90" s="266"/>
    </row>
    <row r="91" spans="2:7" ht="12.75">
      <c r="B91" s="250" t="s">
        <v>453</v>
      </c>
      <c r="C91" s="251"/>
      <c r="D91" s="251"/>
      <c r="E91" s="252"/>
      <c r="F91" s="253" t="str">
        <f>OHSRs!F5</f>
        <v>ML</v>
      </c>
      <c r="G91" s="266">
        <f>OHSRs!F6</f>
        <v>38.08106071206562</v>
      </c>
    </row>
    <row r="92" spans="2:7" ht="12.75">
      <c r="B92" s="250" t="s">
        <v>454</v>
      </c>
      <c r="C92" s="251"/>
      <c r="D92" s="251"/>
      <c r="E92" s="252"/>
      <c r="F92" s="253" t="s">
        <v>420</v>
      </c>
      <c r="G92" s="282">
        <f>OHSRs!G10</f>
        <v>23</v>
      </c>
    </row>
    <row r="93" spans="2:7" ht="12.75">
      <c r="B93" s="250" t="s">
        <v>455</v>
      </c>
      <c r="C93" s="251"/>
      <c r="D93" s="251"/>
      <c r="E93" s="252"/>
      <c r="F93" s="253" t="str">
        <f>OHSRs!H13</f>
        <v>No,s</v>
      </c>
      <c r="G93" s="282">
        <f>OHSRs!G13</f>
        <v>23</v>
      </c>
    </row>
    <row r="94" spans="2:7" ht="12.75">
      <c r="B94" s="250" t="s">
        <v>406</v>
      </c>
      <c r="C94" s="251"/>
      <c r="D94" s="251"/>
      <c r="E94" s="252"/>
      <c r="F94" s="253"/>
      <c r="G94" s="266"/>
    </row>
    <row r="95" spans="2:7" ht="12.75">
      <c r="B95" s="250" t="s">
        <v>453</v>
      </c>
      <c r="C95" s="251"/>
      <c r="D95" s="251"/>
      <c r="E95" s="252"/>
      <c r="F95" s="253" t="str">
        <f>F91</f>
        <v>ML</v>
      </c>
      <c r="G95" s="266">
        <f>G86-G91</f>
        <v>26.308465366310998</v>
      </c>
    </row>
    <row r="96" spans="2:7" ht="12.75">
      <c r="B96" s="250" t="s">
        <v>454</v>
      </c>
      <c r="C96" s="251"/>
      <c r="D96" s="251"/>
      <c r="E96" s="252"/>
      <c r="F96" s="253" t="str">
        <f>OHSRs!H14</f>
        <v>No,s</v>
      </c>
      <c r="G96" s="282">
        <f>G87-G92</f>
        <v>15</v>
      </c>
    </row>
    <row r="97" spans="2:7" ht="12.75">
      <c r="B97" s="284" t="s">
        <v>455</v>
      </c>
      <c r="C97" s="285"/>
      <c r="D97" s="285"/>
      <c r="E97" s="286"/>
      <c r="F97" s="287" t="str">
        <f>OHSRs!H14</f>
        <v>No,s</v>
      </c>
      <c r="G97" s="288">
        <f>G87-G93</f>
        <v>15</v>
      </c>
    </row>
    <row r="101" ht="12.75">
      <c r="B101" s="116"/>
    </row>
    <row r="102" ht="2.25" customHeight="1"/>
  </sheetData>
  <sheetProtection password="CA9C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9.140625" style="29" customWidth="1"/>
    <col min="2" max="2" width="10.7109375" style="29" customWidth="1"/>
    <col min="3" max="3" width="11.8515625" style="29" customWidth="1"/>
    <col min="4" max="4" width="10.7109375" style="29" customWidth="1"/>
    <col min="5" max="5" width="10.8515625" style="29" customWidth="1"/>
    <col min="6" max="7" width="9.140625" style="29" customWidth="1"/>
    <col min="8" max="8" width="9.421875" style="29" bestFit="1" customWidth="1"/>
    <col min="9" max="16384" width="9.140625" style="29" customWidth="1"/>
  </cols>
  <sheetData>
    <row r="1" ht="13.5">
      <c r="A1" s="28" t="s">
        <v>44</v>
      </c>
    </row>
    <row r="3" spans="1:6" s="39" customFormat="1" ht="27">
      <c r="A3" s="39" t="s">
        <v>2</v>
      </c>
      <c r="B3" s="39" t="s">
        <v>1</v>
      </c>
      <c r="C3" s="64" t="s">
        <v>45</v>
      </c>
      <c r="D3" s="64" t="s">
        <v>46</v>
      </c>
      <c r="E3" s="39" t="s">
        <v>5</v>
      </c>
      <c r="F3" s="39" t="s">
        <v>47</v>
      </c>
    </row>
    <row r="4" spans="1:2" ht="13.5">
      <c r="A4" s="30">
        <v>1951</v>
      </c>
      <c r="B4" s="31">
        <f>'INPUT DATA'!D8</f>
        <v>54981</v>
      </c>
    </row>
    <row r="5" spans="1:6" ht="13.5">
      <c r="A5" s="30">
        <v>1961</v>
      </c>
      <c r="B5" s="31">
        <f>'INPUT DATA'!D9</f>
        <v>67026</v>
      </c>
      <c r="C5" s="32">
        <f>((B5/B4)-1)</f>
        <v>0.21907568068969274</v>
      </c>
      <c r="D5" s="32">
        <f>(((B5/B4)^(1/10))-1)</f>
        <v>0.0200067993274764</v>
      </c>
      <c r="F5" s="33"/>
    </row>
    <row r="6" spans="1:4" ht="13.5">
      <c r="A6" s="30">
        <v>1971</v>
      </c>
      <c r="B6" s="31">
        <f>'INPUT DATA'!D10</f>
        <v>87981</v>
      </c>
      <c r="C6" s="32">
        <f>((B6/B5)-1)</f>
        <v>0.31263987109479907</v>
      </c>
      <c r="D6" s="32">
        <f>(((B6/B5)^(1/10))-1)</f>
        <v>0.027577435767422998</v>
      </c>
    </row>
    <row r="7" spans="1:4" ht="13.5">
      <c r="A7" s="30">
        <v>1981</v>
      </c>
      <c r="B7" s="31">
        <f>'INPUT DATA'!D11</f>
        <v>137927</v>
      </c>
      <c r="C7" s="32">
        <f>((B7/B6)-1)</f>
        <v>0.5676907514122367</v>
      </c>
      <c r="D7" s="32">
        <f>(((B7/B6)^(1/10))-1)</f>
        <v>0.045986404304296125</v>
      </c>
    </row>
    <row r="8" spans="1:4" ht="13.5">
      <c r="A8" s="30">
        <v>1991</v>
      </c>
      <c r="B8" s="31">
        <f>'INPUT DATA'!D12</f>
        <v>191000</v>
      </c>
      <c r="C8" s="32">
        <f>((B8/B7)-1)</f>
        <v>0.38479050512227486</v>
      </c>
      <c r="D8" s="32">
        <f>(((B8/B7)^(1/10))-1)</f>
        <v>0.03309059466180009</v>
      </c>
    </row>
    <row r="9" spans="1:6" ht="13.5">
      <c r="A9" s="30">
        <v>2001</v>
      </c>
      <c r="B9" s="31">
        <f>'INPUT DATA'!D13</f>
        <v>261740</v>
      </c>
      <c r="C9" s="32">
        <f>((B9/B8)-1)</f>
        <v>0.3703664921465968</v>
      </c>
      <c r="D9" s="32">
        <f>(((B9/B8)^(1/10))-1)</f>
        <v>0.03200944758910218</v>
      </c>
      <c r="E9" s="34">
        <f>B9/$F$9</f>
        <v>52000</v>
      </c>
      <c r="F9" s="35">
        <f>'[1]INPUT DATA'!D13/'[1]INPUT DATA'!E13</f>
        <v>5.033461538461538</v>
      </c>
    </row>
    <row r="10" spans="1:6" ht="13.5">
      <c r="A10" s="30">
        <v>2011</v>
      </c>
      <c r="B10" s="36">
        <f>B28</f>
        <v>499438</v>
      </c>
      <c r="C10" s="37">
        <f>((B10/B9)-1)</f>
        <v>0.9081454878887445</v>
      </c>
      <c r="D10" s="37">
        <f>(((B10/B9)^(1/10))-1)</f>
        <v>0.06674630806714021</v>
      </c>
      <c r="E10" s="34">
        <f aca="true" t="shared" si="0" ref="E10:E16">B10/$F$9</f>
        <v>99223.56537021472</v>
      </c>
      <c r="F10" s="38">
        <f>B10/E10</f>
        <v>5.033461538461538</v>
      </c>
    </row>
    <row r="11" spans="1:6" ht="13.5">
      <c r="A11" s="30">
        <f>A10+5</f>
        <v>2016</v>
      </c>
      <c r="B11" s="36">
        <f>B10*((1+D12)^(A11-A10))</f>
        <v>591825.0318092334</v>
      </c>
      <c r="C11" s="37">
        <f>C12</f>
        <v>0.40418230090621865</v>
      </c>
      <c r="D11" s="37">
        <f>D12</f>
        <v>0.03452823800328231</v>
      </c>
      <c r="E11" s="34">
        <f t="shared" si="0"/>
        <v>117578.13728921882</v>
      </c>
      <c r="F11" s="38">
        <f aca="true" t="shared" si="1" ref="F11:F16">B11/E11</f>
        <v>5.033461538461538</v>
      </c>
    </row>
    <row r="12" spans="1:6" ht="13.5">
      <c r="A12" s="30">
        <v>2021</v>
      </c>
      <c r="B12" s="36">
        <f>B29</f>
        <v>701302</v>
      </c>
      <c r="C12" s="37">
        <f>((B12/B10)-1)</f>
        <v>0.40418230090621865</v>
      </c>
      <c r="D12" s="37">
        <f>(((B12/B10)^(1/10))-1)</f>
        <v>0.03452823800328231</v>
      </c>
      <c r="E12" s="34">
        <f t="shared" si="0"/>
        <v>139327.9743256667</v>
      </c>
      <c r="F12" s="38">
        <f t="shared" si="1"/>
        <v>5.033461538461538</v>
      </c>
    </row>
    <row r="13" spans="1:6" ht="13.5">
      <c r="A13" s="30">
        <f>A12+5</f>
        <v>2026</v>
      </c>
      <c r="B13" s="36">
        <f>B12*((1+D14)^(A13-A12))</f>
        <v>820406.9608919708</v>
      </c>
      <c r="C13" s="37">
        <f>C14</f>
        <v>0.36851171107454417</v>
      </c>
      <c r="D13" s="37">
        <f>D14</f>
        <v>0.03186968071239282</v>
      </c>
      <c r="E13" s="34">
        <f t="shared" si="0"/>
        <v>162990.6088728604</v>
      </c>
      <c r="F13" s="38">
        <f t="shared" si="1"/>
        <v>5.033461538461538</v>
      </c>
    </row>
    <row r="14" spans="1:6" ht="13.5">
      <c r="A14" s="30">
        <v>2031</v>
      </c>
      <c r="B14" s="36">
        <f>B30</f>
        <v>959740</v>
      </c>
      <c r="C14" s="37">
        <f>((B14/B12)-1)</f>
        <v>0.36851171107454417</v>
      </c>
      <c r="D14" s="37">
        <f>(((B14/B12)^(1/10))-1)</f>
        <v>0.03186968071239282</v>
      </c>
      <c r="E14" s="34">
        <f t="shared" si="0"/>
        <v>190671.9645449683</v>
      </c>
      <c r="F14" s="38">
        <f t="shared" si="1"/>
        <v>5.033461538461538</v>
      </c>
    </row>
    <row r="15" spans="1:6" ht="13.5">
      <c r="A15" s="30">
        <f>A14+5</f>
        <v>2036</v>
      </c>
      <c r="B15" s="36">
        <f>B14*((1+D16)^(A15-A14))</f>
        <v>1106087.9189648535</v>
      </c>
      <c r="C15" s="37">
        <f>C16</f>
        <v>0.32822639464855063</v>
      </c>
      <c r="D15" s="37">
        <f>D16</f>
        <v>0.028791128635187402</v>
      </c>
      <c r="E15" s="34">
        <f t="shared" si="0"/>
        <v>219746.9694588996</v>
      </c>
      <c r="F15" s="38">
        <f t="shared" si="1"/>
        <v>5.033461538461538</v>
      </c>
    </row>
    <row r="16" spans="1:6" ht="13.5">
      <c r="A16" s="30">
        <v>2041</v>
      </c>
      <c r="B16" s="36">
        <f>B31</f>
        <v>1274752</v>
      </c>
      <c r="C16" s="37">
        <f>((B16/B14)-1)</f>
        <v>0.32822639464855063</v>
      </c>
      <c r="D16" s="37">
        <f>(((B16/B14)^(1/10))-1)</f>
        <v>0.028791128635187402</v>
      </c>
      <c r="E16" s="34">
        <f t="shared" si="0"/>
        <v>253255.5360281195</v>
      </c>
      <c r="F16" s="38">
        <f t="shared" si="1"/>
        <v>5.033461538461538</v>
      </c>
    </row>
    <row r="18" ht="13.5">
      <c r="A18" s="29" t="s">
        <v>23</v>
      </c>
    </row>
    <row r="19" spans="3:9" s="39" customFormat="1" ht="39.75" customHeight="1">
      <c r="C19" s="40" t="s">
        <v>48</v>
      </c>
      <c r="D19" s="40" t="s">
        <v>49</v>
      </c>
      <c r="E19" s="40" t="s">
        <v>50</v>
      </c>
      <c r="F19" s="40" t="s">
        <v>51</v>
      </c>
      <c r="G19" s="40" t="s">
        <v>34</v>
      </c>
      <c r="H19" s="40" t="s">
        <v>52</v>
      </c>
      <c r="I19" s="39" t="s">
        <v>395</v>
      </c>
    </row>
    <row r="20" spans="1:2" ht="13.5" hidden="1">
      <c r="A20" s="29" t="s">
        <v>2</v>
      </c>
      <c r="B20" s="29" t="s">
        <v>1</v>
      </c>
    </row>
    <row r="21" spans="1:6" ht="13.5" hidden="1">
      <c r="A21" s="30">
        <f aca="true" t="shared" si="2" ref="A21:B26">A4</f>
        <v>1951</v>
      </c>
      <c r="B21" s="41">
        <f t="shared" si="2"/>
        <v>54981</v>
      </c>
      <c r="C21" s="30"/>
      <c r="D21" s="30"/>
      <c r="E21" s="30"/>
      <c r="F21" s="30"/>
    </row>
    <row r="22" spans="1:9" ht="13.5" hidden="1">
      <c r="A22" s="30">
        <f t="shared" si="2"/>
        <v>1961</v>
      </c>
      <c r="B22" s="41">
        <f t="shared" si="2"/>
        <v>67026</v>
      </c>
      <c r="C22" s="65">
        <f>IF(B21=0,"-",B22-B21)</f>
        <v>12045</v>
      </c>
      <c r="D22" s="65"/>
      <c r="E22" s="66">
        <f>IF(B21=0,"-",((B22/B21)-1))</f>
        <v>0.21907568068969274</v>
      </c>
      <c r="F22" s="67"/>
      <c r="G22" s="68"/>
      <c r="H22" s="68"/>
      <c r="I22" s="68"/>
    </row>
    <row r="23" spans="1:9" ht="13.5" hidden="1">
      <c r="A23" s="30">
        <f t="shared" si="2"/>
        <v>1971</v>
      </c>
      <c r="B23" s="41">
        <f t="shared" si="2"/>
        <v>87981</v>
      </c>
      <c r="C23" s="65">
        <f>IF(B22=0,"-",B23-B22)</f>
        <v>20955</v>
      </c>
      <c r="D23" s="65">
        <f>(IF(C22="-","-",C23-C22))</f>
        <v>8910</v>
      </c>
      <c r="E23" s="66">
        <f>IF(B22=0,"-",((B23/B22)-1))</f>
        <v>0.31263987109479907</v>
      </c>
      <c r="F23" s="67"/>
      <c r="G23" s="68"/>
      <c r="H23" s="68"/>
      <c r="I23" s="68"/>
    </row>
    <row r="24" spans="1:9" ht="13.5" hidden="1">
      <c r="A24" s="30">
        <f t="shared" si="2"/>
        <v>1981</v>
      </c>
      <c r="B24" s="41">
        <f t="shared" si="2"/>
        <v>137927</v>
      </c>
      <c r="C24" s="65">
        <f>IF(B23=0,"-",B24-B23)</f>
        <v>49946</v>
      </c>
      <c r="D24" s="65">
        <f>(IF(C23="-","-",C24-C23))</f>
        <v>28991</v>
      </c>
      <c r="E24" s="66">
        <f>IF(B23=0,"-",((B24/B23)-1))</f>
        <v>0.5676907514122367</v>
      </c>
      <c r="F24" s="67"/>
      <c r="G24" s="68"/>
      <c r="H24" s="68"/>
      <c r="I24" s="68"/>
    </row>
    <row r="25" spans="1:9" ht="13.5" hidden="1">
      <c r="A25" s="30">
        <f t="shared" si="2"/>
        <v>1991</v>
      </c>
      <c r="B25" s="41">
        <f t="shared" si="2"/>
        <v>191000</v>
      </c>
      <c r="C25" s="65">
        <f>IF(B24=0,"-",B25-B24)</f>
        <v>53073</v>
      </c>
      <c r="D25" s="65">
        <f>(IF(C24="-","-",C25-C24))</f>
        <v>3127</v>
      </c>
      <c r="E25" s="66">
        <f>IF(B24=0,"-",((B25/B24)-1))</f>
        <v>0.38479050512227486</v>
      </c>
      <c r="F25" s="67"/>
      <c r="G25" s="68"/>
      <c r="H25" s="68"/>
      <c r="I25" s="68"/>
    </row>
    <row r="26" spans="1:9" ht="13.5" hidden="1">
      <c r="A26" s="30">
        <f t="shared" si="2"/>
        <v>2001</v>
      </c>
      <c r="B26" s="41">
        <f t="shared" si="2"/>
        <v>261740</v>
      </c>
      <c r="C26" s="65">
        <f>IF(B25=0,"-",B26-B25)</f>
        <v>70740</v>
      </c>
      <c r="D26" s="65">
        <f>(IF(C25="-","-",C26-C25))</f>
        <v>17667</v>
      </c>
      <c r="E26" s="66">
        <f>IF(B25=0,"-",((B26/B25)-1))</f>
        <v>0.3703664921465968</v>
      </c>
      <c r="F26" s="67"/>
      <c r="G26" s="68"/>
      <c r="H26" s="68"/>
      <c r="I26" s="68"/>
    </row>
    <row r="27" spans="1:9" ht="13.5" hidden="1">
      <c r="A27" s="30"/>
      <c r="B27" s="30"/>
      <c r="C27" s="69">
        <f>AVERAGE(C21:C26)</f>
        <v>41351.8</v>
      </c>
      <c r="D27" s="69">
        <f>AVERAGE(D21:D26)</f>
        <v>14673.75</v>
      </c>
      <c r="E27" s="70">
        <f>AVERAGE(E21:E26)</f>
        <v>0.37091266009312</v>
      </c>
      <c r="F27" s="67"/>
      <c r="G27" s="68"/>
      <c r="H27" s="68"/>
      <c r="I27" s="68"/>
    </row>
    <row r="28" spans="1:9" ht="13.5" hidden="1">
      <c r="A28" s="30">
        <v>2011</v>
      </c>
      <c r="B28" s="41">
        <f>IF($C$32=TRUE,C28,IF($D$32=TRUE,D28,IF($E$32=TRUE,E28,IF($F$32=TRUE,F28,IF($G$32=TRUE,G28,IF($H$32=TRUE,H28))))))</f>
        <v>499438</v>
      </c>
      <c r="C28" s="71">
        <f>B26+C27</f>
        <v>303091.8</v>
      </c>
      <c r="D28" s="72">
        <f>B26+1*$C$27+(1*(1+1)*$D$27)/2</f>
        <v>317765.55</v>
      </c>
      <c r="E28" s="73">
        <f>B26*(1+E27)</f>
        <v>358822.67965277325</v>
      </c>
      <c r="F28" s="65">
        <f>AVERAGE(C28:E28)</f>
        <v>326560.00988425774</v>
      </c>
      <c r="G28" s="65">
        <f>'INPUT DATA'!K12</f>
        <v>499438</v>
      </c>
      <c r="H28" s="73">
        <f>B26*(1+I28)</f>
        <v>261740</v>
      </c>
      <c r="I28" s="118">
        <f>'INPUT DATA'!K17</f>
        <v>0</v>
      </c>
    </row>
    <row r="29" spans="1:9" ht="13.5" hidden="1">
      <c r="A29" s="30">
        <v>2021</v>
      </c>
      <c r="B29" s="41">
        <f>IF($C$32=TRUE,C29,IF($D$32=TRUE,D29,IF($E$32=TRUE,E29,IF($F$32=TRUE,F29,IF($G$32=TRUE,G29,IF($H$32=TRUE,H29))))))</f>
        <v>701302</v>
      </c>
      <c r="C29" s="71">
        <f>C28+$C$27</f>
        <v>344443.6</v>
      </c>
      <c r="D29" s="72">
        <f>C28+1*$C$27+(1*(1+1)*$D$27)/2</f>
        <v>359117.35</v>
      </c>
      <c r="E29" s="73">
        <f>E28*(1+$E$27)</f>
        <v>491914.55426452484</v>
      </c>
      <c r="F29" s="65">
        <f>AVERAGE(C29:E29)</f>
        <v>398491.8347548416</v>
      </c>
      <c r="G29" s="65">
        <f>'INPUT DATA'!L12</f>
        <v>701302</v>
      </c>
      <c r="H29" s="73">
        <f>H28*(1+I29)</f>
        <v>261740</v>
      </c>
      <c r="I29" s="118">
        <f>'INPUT DATA'!L17</f>
        <v>0</v>
      </c>
    </row>
    <row r="30" spans="1:9" ht="13.5" hidden="1">
      <c r="A30" s="30">
        <v>2031</v>
      </c>
      <c r="B30" s="41">
        <f>IF($C$32=TRUE,C30,IF($D$32=TRUE,D30,IF($E$32=TRUE,E30,IF($F$32=TRUE,F30,IF($G$32=TRUE,G30,IF($H$32=TRUE,H30))))))</f>
        <v>959740</v>
      </c>
      <c r="C30" s="71">
        <f>C29+$C$27</f>
        <v>385795.39999999997</v>
      </c>
      <c r="D30" s="72">
        <f>C29+1*$C$27+(1*(1+1)*$D$27)/2</f>
        <v>400469.14999999997</v>
      </c>
      <c r="E30" s="73">
        <f>E29*(1+$E$27)</f>
        <v>674371.8901253012</v>
      </c>
      <c r="F30" s="65">
        <f>AVERAGE(C30:E30)</f>
        <v>486878.8133751003</v>
      </c>
      <c r="G30" s="65">
        <f>'INPUT DATA'!M12</f>
        <v>959740</v>
      </c>
      <c r="H30" s="73">
        <f>H29*(1+I30)</f>
        <v>261740</v>
      </c>
      <c r="I30" s="118">
        <f>'INPUT DATA'!M17</f>
        <v>0</v>
      </c>
    </row>
    <row r="31" spans="1:9" ht="13.5" hidden="1">
      <c r="A31" s="30">
        <v>2041</v>
      </c>
      <c r="B31" s="41">
        <f>IF($C$32=TRUE,C31,IF($D$32=TRUE,D31,IF($E$32=TRUE,E31,IF($F$32=TRUE,F31,IF($G$32=TRUE,G31,IF($H$32=TRUE,H31))))))</f>
        <v>1274752</v>
      </c>
      <c r="C31" s="71">
        <f>C30+$C$27</f>
        <v>427147.19999999995</v>
      </c>
      <c r="D31" s="72">
        <f>C30+1*$C$27+(1*(1+1)*$D$27)/2</f>
        <v>441820.94999999995</v>
      </c>
      <c r="E31" s="73">
        <f>E30*(1+$E$27)</f>
        <v>924504.961783702</v>
      </c>
      <c r="F31" s="65">
        <f>AVERAGE(C31:E31)</f>
        <v>597824.3705945673</v>
      </c>
      <c r="G31" s="65">
        <f>'INPUT DATA'!N12</f>
        <v>1274752</v>
      </c>
      <c r="H31" s="73">
        <f>H30*(1+I31)</f>
        <v>261740</v>
      </c>
      <c r="I31" s="118">
        <f>'INPUT DATA'!N17</f>
        <v>0</v>
      </c>
    </row>
    <row r="32" spans="3:9" ht="13.5">
      <c r="C32" s="42" t="b">
        <f>EXACT(C19,'INPUT DATA'!$K$8)</f>
        <v>0</v>
      </c>
      <c r="D32" s="42" t="b">
        <f>EXACT(D19,'INPUT DATA'!$K$8)</f>
        <v>0</v>
      </c>
      <c r="E32" s="42" t="b">
        <f>EXACT(E19,'INPUT DATA'!$K$8)</f>
        <v>0</v>
      </c>
      <c r="F32" s="42" t="b">
        <f>EXACT(F19,'INPUT DATA'!$K$8)</f>
        <v>0</v>
      </c>
      <c r="G32" s="42" t="b">
        <f>EXACT(G19,'INPUT DATA'!$K$8)</f>
        <v>1</v>
      </c>
      <c r="H32" s="42" t="b">
        <f>EXACT(H19,'INPUT DATA'!$K$8)</f>
        <v>0</v>
      </c>
      <c r="I32" s="32"/>
    </row>
  </sheetData>
  <sheetProtection password="CA9C" sheet="1" objects="1" scenarios="1" selectLockedCells="1"/>
  <conditionalFormatting sqref="C32:H32">
    <cfRule type="expression" priority="17" dxfId="21" stopIfTrue="1">
      <formula>"""Y"""</formula>
    </cfRule>
    <cfRule type="expression" priority="18" dxfId="22" stopIfTrue="1">
      <formula>"""N"""</formula>
    </cfRule>
  </conditionalFormatting>
  <conditionalFormatting sqref="C32:H32">
    <cfRule type="containsText" priority="16" dxfId="0" operator="containsText" text="Y">
      <formula>NOT(ISERROR(SEARCH("Y",C32)))</formula>
    </cfRule>
  </conditionalFormatting>
  <conditionalFormatting sqref="G32">
    <cfRule type="expression" priority="14" dxfId="21" stopIfTrue="1">
      <formula>"""Y"""</formula>
    </cfRule>
    <cfRule type="expression" priority="15" dxfId="22" stopIfTrue="1">
      <formula>"""N"""</formula>
    </cfRule>
  </conditionalFormatting>
  <conditionalFormatting sqref="G32">
    <cfRule type="containsText" priority="13" dxfId="0" operator="containsText" text="Y">
      <formula>NOT(ISERROR(SEARCH("Y",G32)))</formula>
    </cfRule>
  </conditionalFormatting>
  <conditionalFormatting sqref="G32">
    <cfRule type="expression" priority="11" dxfId="21" stopIfTrue="1">
      <formula>"""Y"""</formula>
    </cfRule>
    <cfRule type="expression" priority="12" dxfId="22" stopIfTrue="1">
      <formula>"""N"""</formula>
    </cfRule>
  </conditionalFormatting>
  <conditionalFormatting sqref="G32">
    <cfRule type="containsText" priority="10" dxfId="0" operator="containsText" text="Y">
      <formula>NOT(ISERROR(SEARCH("Y",G32)))</formula>
    </cfRule>
  </conditionalFormatting>
  <conditionalFormatting sqref="C32:H32">
    <cfRule type="cellIs" priority="9" dxfId="23" operator="equal">
      <formula>"""TRUE"""</formula>
    </cfRule>
  </conditionalFormatting>
  <conditionalFormatting sqref="H32">
    <cfRule type="expression" priority="7" dxfId="21" stopIfTrue="1">
      <formula>"""Y"""</formula>
    </cfRule>
    <cfRule type="expression" priority="8" dxfId="22" stopIfTrue="1">
      <formula>"""N"""</formula>
    </cfRule>
  </conditionalFormatting>
  <conditionalFormatting sqref="H32">
    <cfRule type="containsText" priority="6" dxfId="0" operator="containsText" text="Y">
      <formula>NOT(ISERROR(SEARCH("Y",H32)))</formula>
    </cfRule>
  </conditionalFormatting>
  <conditionalFormatting sqref="H32">
    <cfRule type="expression" priority="4" dxfId="21" stopIfTrue="1">
      <formula>"""Y"""</formula>
    </cfRule>
    <cfRule type="expression" priority="5" dxfId="22" stopIfTrue="1">
      <formula>"""N"""</formula>
    </cfRule>
  </conditionalFormatting>
  <conditionalFormatting sqref="H32">
    <cfRule type="containsText" priority="3" dxfId="0" operator="containsText" text="Y">
      <formula>NOT(ISERROR(SEARCH("Y",H32)))</formula>
    </cfRule>
  </conditionalFormatting>
  <conditionalFormatting sqref="H32">
    <cfRule type="cellIs" priority="2" dxfId="23" operator="equal">
      <formula>"""TRUE"""</formula>
    </cfRule>
  </conditionalFormatting>
  <conditionalFormatting sqref="C32:H32">
    <cfRule type="containsText" priority="1" dxfId="24" operator="containsText" text="TRUE">
      <formula>NOT(ISERROR(SEARCH("TRUE",C32)))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23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9.140625" style="290" customWidth="1"/>
    <col min="2" max="2" width="4.8515625" style="290" customWidth="1"/>
    <col min="3" max="3" width="10.28125" style="290" customWidth="1"/>
    <col min="4" max="4" width="4.8515625" style="290" customWidth="1"/>
    <col min="5" max="5" width="6.140625" style="290" customWidth="1"/>
    <col min="6" max="6" width="8.421875" style="290" customWidth="1"/>
    <col min="7" max="7" width="6.8515625" style="290" customWidth="1"/>
    <col min="8" max="8" width="9.8515625" style="290" bestFit="1" customWidth="1"/>
    <col min="9" max="9" width="7.00390625" style="290" customWidth="1"/>
    <col min="10" max="11" width="7.421875" style="290" customWidth="1"/>
    <col min="12" max="12" width="10.00390625" style="290" customWidth="1"/>
    <col min="13" max="16384" width="9.140625" style="290" customWidth="1"/>
  </cols>
  <sheetData>
    <row r="2" spans="2:9" s="290" customFormat="1" ht="12.75">
      <c r="B2" s="289" t="s">
        <v>381</v>
      </c>
      <c r="C2" s="289"/>
      <c r="D2" s="289"/>
      <c r="E2" s="289"/>
      <c r="F2" s="289"/>
      <c r="G2" s="289"/>
      <c r="H2" s="289"/>
      <c r="I2" s="289"/>
    </row>
    <row r="3" spans="2:9" s="290" customFormat="1" ht="12.75">
      <c r="B3" s="289"/>
      <c r="C3" s="289"/>
      <c r="D3" s="289"/>
      <c r="E3" s="289"/>
      <c r="F3" s="289"/>
      <c r="G3" s="289"/>
      <c r="H3" s="289"/>
      <c r="I3" s="289"/>
    </row>
    <row r="4" spans="2:11" s="290" customFormat="1" ht="12.75">
      <c r="B4" s="291" t="s">
        <v>2</v>
      </c>
      <c r="C4" s="292" t="s">
        <v>1</v>
      </c>
      <c r="D4" s="292" t="s">
        <v>56</v>
      </c>
      <c r="E4" s="292" t="s">
        <v>57</v>
      </c>
      <c r="F4" s="292" t="s">
        <v>59</v>
      </c>
      <c r="G4" s="292" t="s">
        <v>57</v>
      </c>
      <c r="H4" s="292" t="s">
        <v>58</v>
      </c>
      <c r="I4" s="292" t="s">
        <v>60</v>
      </c>
      <c r="J4" s="292" t="s">
        <v>61</v>
      </c>
      <c r="K4" s="293" t="s">
        <v>62</v>
      </c>
    </row>
    <row r="5" spans="2:11" s="290" customFormat="1" ht="12.75">
      <c r="B5" s="294"/>
      <c r="C5" s="295"/>
      <c r="D5" s="295"/>
      <c r="E5" s="295" t="s">
        <v>12</v>
      </c>
      <c r="F5" s="295" t="s">
        <v>10</v>
      </c>
      <c r="G5" s="295" t="s">
        <v>10</v>
      </c>
      <c r="H5" s="295" t="s">
        <v>10</v>
      </c>
      <c r="I5" s="295" t="s">
        <v>10</v>
      </c>
      <c r="J5" s="295" t="s">
        <v>10</v>
      </c>
      <c r="K5" s="296" t="s">
        <v>10</v>
      </c>
    </row>
    <row r="6" spans="2:14" s="290" customFormat="1" ht="12.75">
      <c r="B6" s="297">
        <v>2011</v>
      </c>
      <c r="C6" s="298">
        <f>Pop_Projection!B10</f>
        <v>499438</v>
      </c>
      <c r="D6" s="298">
        <f>IF(C6&lt;1000000,135,150)</f>
        <v>135</v>
      </c>
      <c r="E6" s="298">
        <f>'INPUT DATA'!G17</f>
        <v>40</v>
      </c>
      <c r="F6" s="299">
        <f>(C6*D6)/1000000</f>
        <v>67.42413</v>
      </c>
      <c r="G6" s="299">
        <f>(F6*E6)/100</f>
        <v>26.969652</v>
      </c>
      <c r="H6" s="299">
        <f>IF(C6&gt;50000,(0.1*((C6/1000)^0.5)),0)</f>
        <v>2.2348109539735126</v>
      </c>
      <c r="I6" s="299">
        <f>F6+G6+H6</f>
        <v>96.62859295397351</v>
      </c>
      <c r="J6" s="299">
        <f>'INPUT DATA'!E17</f>
        <v>81.05</v>
      </c>
      <c r="K6" s="300">
        <f>IF(I6-J6&gt;0,I6-J6,0)</f>
        <v>15.578592953973512</v>
      </c>
      <c r="N6" s="301"/>
    </row>
    <row r="7" spans="2:11" s="290" customFormat="1" ht="12.75">
      <c r="B7" s="297">
        <v>2016</v>
      </c>
      <c r="C7" s="298">
        <f>Pop_Projection!B11</f>
        <v>591825.0318092334</v>
      </c>
      <c r="D7" s="298">
        <f aca="true" t="shared" si="0" ref="D7:D12">IF(C7&lt;1000000,135,150)</f>
        <v>135</v>
      </c>
      <c r="E7" s="298">
        <f>E6</f>
        <v>40</v>
      </c>
      <c r="F7" s="299">
        <f aca="true" t="shared" si="1" ref="F7:F12">(C7*D7)/1000000</f>
        <v>79.89637929424651</v>
      </c>
      <c r="G7" s="299">
        <f aca="true" t="shared" si="2" ref="G7:G12">(F7*E7)/100</f>
        <v>31.958551717698604</v>
      </c>
      <c r="H7" s="299">
        <f aca="true" t="shared" si="3" ref="H7:H12">IF(C7&gt;50000,(0.1*((C7/1000)^0.5)),0)</f>
        <v>2.4327454281310104</v>
      </c>
      <c r="I7" s="299">
        <f aca="true" t="shared" si="4" ref="I7:I12">F7+G7+H7</f>
        <v>114.28767644007614</v>
      </c>
      <c r="J7" s="299">
        <f>J6*((100-'INPUT DATA'!$F$45)/100)</f>
        <v>60.787499999999994</v>
      </c>
      <c r="K7" s="300">
        <f aca="true" t="shared" si="5" ref="K7:K12">IF(I7-J7&gt;0,I7-J7,0)</f>
        <v>53.500176440076146</v>
      </c>
    </row>
    <row r="8" spans="2:11" s="290" customFormat="1" ht="12.75">
      <c r="B8" s="297">
        <v>2021</v>
      </c>
      <c r="C8" s="298">
        <f>Pop_Projection!B12</f>
        <v>701302</v>
      </c>
      <c r="D8" s="298">
        <f t="shared" si="0"/>
        <v>135</v>
      </c>
      <c r="E8" s="298">
        <f>IF(((E7-10)&lt;15),15,E7-10)</f>
        <v>30</v>
      </c>
      <c r="F8" s="299">
        <f t="shared" si="1"/>
        <v>94.67577</v>
      </c>
      <c r="G8" s="299">
        <f t="shared" si="2"/>
        <v>28.402731</v>
      </c>
      <c r="H8" s="299">
        <f t="shared" si="3"/>
        <v>2.648210716691555</v>
      </c>
      <c r="I8" s="299">
        <f t="shared" si="4"/>
        <v>125.72671171669155</v>
      </c>
      <c r="J8" s="299">
        <f>J7*((100-'INPUT DATA'!$F$45)/100)</f>
        <v>45.590624999999996</v>
      </c>
      <c r="K8" s="300">
        <f t="shared" si="5"/>
        <v>80.13608671669155</v>
      </c>
    </row>
    <row r="9" spans="2:11" s="290" customFormat="1" ht="12.75">
      <c r="B9" s="297">
        <v>2026</v>
      </c>
      <c r="C9" s="298">
        <f>Pop_Projection!B13</f>
        <v>820406.9608919708</v>
      </c>
      <c r="D9" s="298">
        <f t="shared" si="0"/>
        <v>135</v>
      </c>
      <c r="E9" s="298">
        <f>IF(((E8-10)&lt;15),15,E8-10)</f>
        <v>20</v>
      </c>
      <c r="F9" s="299">
        <f t="shared" si="1"/>
        <v>110.75493972041605</v>
      </c>
      <c r="G9" s="299">
        <f t="shared" si="2"/>
        <v>22.15098794408321</v>
      </c>
      <c r="H9" s="299">
        <f t="shared" si="3"/>
        <v>2.864274709052836</v>
      </c>
      <c r="I9" s="299">
        <f t="shared" si="4"/>
        <v>135.77020237355208</v>
      </c>
      <c r="J9" s="299">
        <f>J8*((100-'INPUT DATA'!$F$45)/100)</f>
        <v>34.19296875</v>
      </c>
      <c r="K9" s="300">
        <f t="shared" si="5"/>
        <v>101.57723362355208</v>
      </c>
    </row>
    <row r="10" spans="2:11" s="290" customFormat="1" ht="12.75">
      <c r="B10" s="297">
        <v>2031</v>
      </c>
      <c r="C10" s="298">
        <f>Pop_Projection!B14</f>
        <v>959740</v>
      </c>
      <c r="D10" s="298">
        <f t="shared" si="0"/>
        <v>135</v>
      </c>
      <c r="E10" s="298">
        <f>IF(((E9-10)&lt;15),15,E9-10)</f>
        <v>15</v>
      </c>
      <c r="F10" s="299">
        <f t="shared" si="1"/>
        <v>129.5649</v>
      </c>
      <c r="G10" s="299">
        <f t="shared" si="2"/>
        <v>19.434735</v>
      </c>
      <c r="H10" s="299">
        <f t="shared" si="3"/>
        <v>3.097967075357645</v>
      </c>
      <c r="I10" s="299">
        <f t="shared" si="4"/>
        <v>152.09760207535763</v>
      </c>
      <c r="J10" s="299">
        <f>J9*((100-'INPUT DATA'!$F$45)/100)</f>
        <v>25.644726562499997</v>
      </c>
      <c r="K10" s="300">
        <f t="shared" si="5"/>
        <v>126.45287551285763</v>
      </c>
    </row>
    <row r="11" spans="2:11" s="290" customFormat="1" ht="12.75">
      <c r="B11" s="297">
        <v>2036</v>
      </c>
      <c r="C11" s="298">
        <f>Pop_Projection!B15</f>
        <v>1106087.9189648535</v>
      </c>
      <c r="D11" s="298">
        <f t="shared" si="0"/>
        <v>150</v>
      </c>
      <c r="E11" s="298">
        <f>IF(((E10-10)&lt;15),15,E10-10)</f>
        <v>15</v>
      </c>
      <c r="F11" s="299">
        <f t="shared" si="1"/>
        <v>165.91318784472801</v>
      </c>
      <c r="G11" s="299">
        <f t="shared" si="2"/>
        <v>24.886978176709203</v>
      </c>
      <c r="H11" s="299">
        <f t="shared" si="3"/>
        <v>3.325790009854581</v>
      </c>
      <c r="I11" s="299">
        <f t="shared" si="4"/>
        <v>194.1259560312918</v>
      </c>
      <c r="J11" s="299">
        <f>J10*((100-'INPUT DATA'!$F$45)/100)</f>
        <v>19.233544921874998</v>
      </c>
      <c r="K11" s="300">
        <f t="shared" si="5"/>
        <v>174.8924111094168</v>
      </c>
    </row>
    <row r="12" spans="2:11" s="290" customFormat="1" ht="12.75">
      <c r="B12" s="302">
        <v>2041</v>
      </c>
      <c r="C12" s="303">
        <f>Pop_Projection!B16</f>
        <v>1274752</v>
      </c>
      <c r="D12" s="303">
        <f t="shared" si="0"/>
        <v>150</v>
      </c>
      <c r="E12" s="303">
        <f>IF(((E11-10)&lt;15),15,E11-10)</f>
        <v>15</v>
      </c>
      <c r="F12" s="304">
        <f t="shared" si="1"/>
        <v>191.2128</v>
      </c>
      <c r="G12" s="304">
        <f t="shared" si="2"/>
        <v>28.68192</v>
      </c>
      <c r="H12" s="304">
        <f t="shared" si="3"/>
        <v>3.5703669279221146</v>
      </c>
      <c r="I12" s="304">
        <f t="shared" si="4"/>
        <v>223.4650869279221</v>
      </c>
      <c r="J12" s="304">
        <f>J11*((100-'INPUT DATA'!$F$45)/100)</f>
        <v>14.42515869140625</v>
      </c>
      <c r="K12" s="305">
        <f t="shared" si="5"/>
        <v>209.03992823651586</v>
      </c>
    </row>
    <row r="14" s="290" customFormat="1" ht="12.75">
      <c r="B14" s="289" t="s">
        <v>382</v>
      </c>
    </row>
    <row r="15" s="290" customFormat="1" ht="2.25" customHeight="1">
      <c r="B15" s="289"/>
    </row>
    <row r="16" spans="2:11" s="290" customFormat="1" ht="12.75">
      <c r="B16" s="306" t="s">
        <v>383</v>
      </c>
      <c r="C16" s="292"/>
      <c r="D16" s="292"/>
      <c r="E16" s="292"/>
      <c r="F16" s="292"/>
      <c r="G16" s="292"/>
      <c r="H16" s="292"/>
      <c r="I16" s="292"/>
      <c r="J16" s="292" t="s">
        <v>384</v>
      </c>
      <c r="K16" s="293" t="s">
        <v>8</v>
      </c>
    </row>
    <row r="17" spans="2:11" s="290" customFormat="1" ht="12.75">
      <c r="B17" s="307" t="s">
        <v>347</v>
      </c>
      <c r="C17" s="308"/>
      <c r="D17" s="308"/>
      <c r="E17" s="308"/>
      <c r="F17" s="308"/>
      <c r="G17" s="308"/>
      <c r="H17" s="308"/>
      <c r="I17" s="309"/>
      <c r="J17" s="309" t="s">
        <v>10</v>
      </c>
      <c r="K17" s="310">
        <f>K9*1.05</f>
        <v>106.65609530472969</v>
      </c>
    </row>
    <row r="18" spans="2:11" s="290" customFormat="1" ht="12.75">
      <c r="B18" s="307" t="s">
        <v>399</v>
      </c>
      <c r="C18" s="308"/>
      <c r="D18" s="308"/>
      <c r="E18" s="308"/>
      <c r="F18" s="308"/>
      <c r="G18" s="308"/>
      <c r="H18" s="308"/>
      <c r="I18" s="309"/>
      <c r="J18" s="309" t="s">
        <v>10</v>
      </c>
      <c r="K18" s="310">
        <f>ROUNDUP(K12,0)</f>
        <v>210</v>
      </c>
    </row>
    <row r="19" spans="2:14" s="290" customFormat="1" ht="12.75">
      <c r="B19" s="307" t="s">
        <v>412</v>
      </c>
      <c r="C19" s="308"/>
      <c r="D19" s="308"/>
      <c r="E19" s="308"/>
      <c r="F19" s="308"/>
      <c r="G19" s="308"/>
      <c r="H19" s="308"/>
      <c r="I19" s="309"/>
      <c r="J19" s="309" t="s">
        <v>407</v>
      </c>
      <c r="K19" s="310">
        <f>ROUND(K18*$M$19/10^4,0)</f>
        <v>13</v>
      </c>
      <c r="L19" s="311" t="s">
        <v>414</v>
      </c>
      <c r="M19" s="312">
        <v>625</v>
      </c>
      <c r="N19" s="290" t="s">
        <v>413</v>
      </c>
    </row>
    <row r="20" spans="2:11" s="290" customFormat="1" ht="12.75">
      <c r="B20" s="307" t="s">
        <v>400</v>
      </c>
      <c r="C20" s="308"/>
      <c r="D20" s="308"/>
      <c r="E20" s="308"/>
      <c r="F20" s="308"/>
      <c r="G20" s="308"/>
      <c r="H20" s="308"/>
      <c r="I20" s="309"/>
      <c r="J20" s="309"/>
      <c r="K20" s="310"/>
    </row>
    <row r="21" spans="2:11" s="290" customFormat="1" ht="12.75">
      <c r="B21" s="307" t="s">
        <v>401</v>
      </c>
      <c r="C21" s="308"/>
      <c r="D21" s="308"/>
      <c r="E21" s="308"/>
      <c r="F21" s="308"/>
      <c r="G21" s="308"/>
      <c r="H21" s="308"/>
      <c r="I21" s="309"/>
      <c r="J21" s="309" t="s">
        <v>10</v>
      </c>
      <c r="K21" s="310">
        <f>MROUND(K9,1)</f>
        <v>102</v>
      </c>
    </row>
    <row r="22" spans="2:11" s="290" customFormat="1" ht="12.75">
      <c r="B22" s="307" t="s">
        <v>402</v>
      </c>
      <c r="C22" s="308"/>
      <c r="D22" s="308"/>
      <c r="E22" s="308"/>
      <c r="F22" s="308"/>
      <c r="G22" s="308"/>
      <c r="H22" s="308"/>
      <c r="I22" s="309"/>
      <c r="J22" s="309" t="s">
        <v>10</v>
      </c>
      <c r="K22" s="310">
        <f>K18-K21</f>
        <v>108</v>
      </c>
    </row>
    <row r="23" spans="2:11" s="290" customFormat="1" ht="12.75">
      <c r="B23" s="313" t="s">
        <v>403</v>
      </c>
      <c r="C23" s="314"/>
      <c r="D23" s="314"/>
      <c r="E23" s="314"/>
      <c r="F23" s="314"/>
      <c r="G23" s="314"/>
      <c r="H23" s="314"/>
      <c r="I23" s="315"/>
      <c r="J23" s="315" t="s">
        <v>10</v>
      </c>
      <c r="K23" s="316">
        <f>ROUNDUP(K12*1.05,0)</f>
        <v>220</v>
      </c>
    </row>
  </sheetData>
  <sheetProtection password="CA9C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7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.00390625" style="74" customWidth="1"/>
    <col min="2" max="2" width="5.140625" style="74" customWidth="1"/>
    <col min="3" max="3" width="9.140625" style="74" customWidth="1"/>
    <col min="4" max="4" width="9.7109375" style="74" customWidth="1"/>
    <col min="5" max="5" width="7.140625" style="74" bestFit="1" customWidth="1"/>
    <col min="6" max="6" width="7.57421875" style="74" bestFit="1" customWidth="1"/>
    <col min="7" max="16384" width="9.140625" style="74" customWidth="1"/>
  </cols>
  <sheetData>
    <row r="2" spans="2:7" ht="12.75">
      <c r="B2" s="75" t="s">
        <v>377</v>
      </c>
      <c r="C2" s="75"/>
      <c r="D2" s="75"/>
      <c r="E2" s="75"/>
      <c r="F2" s="75"/>
      <c r="G2" s="75"/>
    </row>
    <row r="3" spans="2:7" ht="2.25" customHeight="1">
      <c r="B3" s="75"/>
      <c r="C3" s="75"/>
      <c r="D3" s="75"/>
      <c r="E3" s="75"/>
      <c r="F3" s="75"/>
      <c r="G3" s="75"/>
    </row>
    <row r="4" spans="2:6" ht="25.5">
      <c r="B4" s="90" t="s">
        <v>63</v>
      </c>
      <c r="C4" s="91" t="s">
        <v>59</v>
      </c>
      <c r="D4" s="92" t="s">
        <v>71</v>
      </c>
      <c r="E4" s="92" t="s">
        <v>72</v>
      </c>
      <c r="F4" s="93" t="s">
        <v>73</v>
      </c>
    </row>
    <row r="5" spans="2:6" ht="12.75">
      <c r="B5" s="77"/>
      <c r="C5" s="78" t="s">
        <v>10</v>
      </c>
      <c r="D5" s="78" t="s">
        <v>26</v>
      </c>
      <c r="E5" s="78" t="s">
        <v>26</v>
      </c>
      <c r="F5" s="79" t="s">
        <v>26</v>
      </c>
    </row>
    <row r="6" spans="2:6" ht="12.75">
      <c r="B6" s="80">
        <v>2026</v>
      </c>
      <c r="C6" s="81">
        <f>Demand!I9</f>
        <v>135.77020237355208</v>
      </c>
      <c r="D6" s="81">
        <f>(C6/24)*'INPUT DATA'!F32</f>
        <v>11.31418353112934</v>
      </c>
      <c r="E6" s="82">
        <f>'INPUT DATA'!F28</f>
        <v>6.75</v>
      </c>
      <c r="F6" s="83">
        <f>D6-E6</f>
        <v>4.5641835311293395</v>
      </c>
    </row>
    <row r="7" spans="2:6" ht="12.75">
      <c r="B7" s="84">
        <v>2041</v>
      </c>
      <c r="C7" s="85">
        <f>Demand!I12</f>
        <v>223.4650869279221</v>
      </c>
      <c r="D7" s="85">
        <f>(C7/24)*'INPUT DATA'!F33</f>
        <v>16.294329255160985</v>
      </c>
      <c r="E7" s="86">
        <f>E6</f>
        <v>6.75</v>
      </c>
      <c r="F7" s="87">
        <f>D7-E7</f>
        <v>9.544329255160985</v>
      </c>
    </row>
  </sheetData>
  <sheetProtection password="CA9C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3.421875" style="74" customWidth="1"/>
    <col min="2" max="2" width="24.421875" style="74" bestFit="1" customWidth="1"/>
    <col min="3" max="3" width="12.28125" style="74" customWidth="1"/>
    <col min="4" max="4" width="9.421875" style="74" bestFit="1" customWidth="1"/>
    <col min="5" max="5" width="7.140625" style="74" customWidth="1"/>
    <col min="6" max="16384" width="9.140625" style="74" customWidth="1"/>
  </cols>
  <sheetData>
    <row r="2" spans="2:6" ht="12.75">
      <c r="B2" s="75" t="s">
        <v>379</v>
      </c>
      <c r="C2" s="75"/>
      <c r="D2" s="75"/>
      <c r="E2" s="75"/>
      <c r="F2" s="75"/>
    </row>
    <row r="3" spans="2:6" ht="3" customHeight="1">
      <c r="B3" s="88"/>
      <c r="C3" s="88"/>
      <c r="D3" s="88"/>
      <c r="E3" s="88"/>
      <c r="F3" s="88"/>
    </row>
    <row r="4" spans="2:6" ht="12.75">
      <c r="B4" s="94" t="s">
        <v>378</v>
      </c>
      <c r="C4" s="95" t="s">
        <v>293</v>
      </c>
      <c r="D4" s="96" t="s">
        <v>8</v>
      </c>
      <c r="E4" s="88"/>
      <c r="F4" s="88"/>
    </row>
    <row r="5" spans="2:4" ht="12.75">
      <c r="B5" s="97" t="s">
        <v>323</v>
      </c>
      <c r="C5" s="98"/>
      <c r="D5" s="99">
        <f>'INPUT DATA'!L36</f>
        <v>233.5</v>
      </c>
    </row>
    <row r="6" spans="2:4" ht="12.75">
      <c r="B6" s="97" t="s">
        <v>324</v>
      </c>
      <c r="C6" s="98"/>
      <c r="D6" s="99">
        <f>'INPUT DATA'!L37</f>
        <v>240.1</v>
      </c>
    </row>
    <row r="7" spans="2:4" ht="12.75">
      <c r="B7" s="97" t="s">
        <v>325</v>
      </c>
      <c r="C7" s="98"/>
      <c r="D7" s="99">
        <f>D6-D5</f>
        <v>6.599999999999994</v>
      </c>
    </row>
    <row r="8" spans="2:4" ht="12.75">
      <c r="B8" s="97" t="s">
        <v>330</v>
      </c>
      <c r="C8" s="98"/>
      <c r="D8" s="100">
        <f>'RM Design 1'!H203</f>
        <v>0.01028784101868764</v>
      </c>
    </row>
    <row r="9" spans="2:4" ht="12.75">
      <c r="B9" s="97" t="s">
        <v>331</v>
      </c>
      <c r="C9" s="98"/>
      <c r="D9" s="100">
        <f>D8*0.1</f>
        <v>0.0010287841018687641</v>
      </c>
    </row>
    <row r="10" spans="2:4" ht="12.75">
      <c r="B10" s="97" t="s">
        <v>83</v>
      </c>
      <c r="C10" s="98" t="s">
        <v>289</v>
      </c>
      <c r="D10" s="100">
        <f>D7+D8+D9</f>
        <v>6.61131662512055</v>
      </c>
    </row>
    <row r="11" spans="2:4" ht="12.75">
      <c r="B11" s="97" t="s">
        <v>334</v>
      </c>
      <c r="C11" s="98" t="s">
        <v>289</v>
      </c>
      <c r="D11" s="99">
        <f>ROUNDUP(D10,0)</f>
        <v>7</v>
      </c>
    </row>
    <row r="12" spans="2:4" ht="12.75">
      <c r="B12" s="97" t="s">
        <v>332</v>
      </c>
      <c r="C12" s="98" t="s">
        <v>10</v>
      </c>
      <c r="D12" s="99">
        <f>Demand!K21</f>
        <v>102</v>
      </c>
    </row>
    <row r="13" spans="2:4" ht="12.75">
      <c r="B13" s="97" t="s">
        <v>81</v>
      </c>
      <c r="C13" s="98" t="s">
        <v>420</v>
      </c>
      <c r="D13" s="101">
        <f>'INPUT DATA'!F39</f>
        <v>4</v>
      </c>
    </row>
    <row r="14" spans="2:4" ht="12.75">
      <c r="B14" s="97" t="s">
        <v>421</v>
      </c>
      <c r="C14" s="98" t="s">
        <v>420</v>
      </c>
      <c r="D14" s="101">
        <f>(D13*'INPUT DATA'!F41/100)</f>
        <v>2</v>
      </c>
    </row>
    <row r="15" spans="2:4" ht="12.75">
      <c r="B15" s="97" t="s">
        <v>334</v>
      </c>
      <c r="C15" s="98" t="s">
        <v>420</v>
      </c>
      <c r="D15" s="101">
        <f>ROUNDUP(D14,0)</f>
        <v>2</v>
      </c>
    </row>
    <row r="16" spans="2:4" ht="12.75">
      <c r="B16" s="97" t="s">
        <v>19</v>
      </c>
      <c r="C16" s="98" t="s">
        <v>422</v>
      </c>
      <c r="D16" s="101">
        <f>'INPUT DATA'!F26</f>
        <v>23</v>
      </c>
    </row>
    <row r="17" spans="2:4" ht="28.5" customHeight="1">
      <c r="B17" s="102" t="s">
        <v>335</v>
      </c>
      <c r="C17" s="103" t="s">
        <v>10</v>
      </c>
      <c r="D17" s="99">
        <f>(D12/D13)/(24/D16)</f>
        <v>24.4375</v>
      </c>
    </row>
    <row r="18" spans="2:4" ht="12.75">
      <c r="B18" s="97" t="s">
        <v>337</v>
      </c>
      <c r="C18" s="98" t="s">
        <v>84</v>
      </c>
      <c r="D18" s="99">
        <f>(D17*1000000)/(D16*60*60)</f>
        <v>295.1388888888889</v>
      </c>
    </row>
    <row r="19" spans="2:4" ht="12.75">
      <c r="B19" s="97" t="s">
        <v>336</v>
      </c>
      <c r="C19" s="98" t="s">
        <v>12</v>
      </c>
      <c r="D19" s="99">
        <f>'INPUT DATA'!L39</f>
        <v>78</v>
      </c>
    </row>
    <row r="20" spans="2:4" ht="12.75">
      <c r="B20" s="97" t="s">
        <v>424</v>
      </c>
      <c r="C20" s="98" t="s">
        <v>295</v>
      </c>
      <c r="D20" s="99">
        <f>(D18*D11)/(102*D19%)</f>
        <v>25.967473884140556</v>
      </c>
    </row>
    <row r="21" spans="2:4" ht="12.75">
      <c r="B21" s="97" t="s">
        <v>339</v>
      </c>
      <c r="C21" s="98"/>
      <c r="D21" s="99">
        <f>IF(D20&gt;75,1.1,IF(D20&gt;15,1.15,IF(D20&gt;7.5,1.2,IF(D20&gt;3.7,1.3,IF(D20&gt;1.5,1.4,1.5)))))</f>
        <v>1.15</v>
      </c>
    </row>
    <row r="22" spans="2:4" ht="12.75">
      <c r="B22" s="97" t="s">
        <v>338</v>
      </c>
      <c r="C22" s="98"/>
      <c r="D22" s="99">
        <f>D20*D21</f>
        <v>29.862594966761637</v>
      </c>
    </row>
    <row r="23" spans="2:4" ht="12.75">
      <c r="B23" s="97" t="s">
        <v>297</v>
      </c>
      <c r="C23" s="98"/>
      <c r="D23" s="99">
        <f>ROUNDUP(D22,0)</f>
        <v>30</v>
      </c>
    </row>
    <row r="24" spans="2:4" ht="12.75">
      <c r="B24" s="97" t="s">
        <v>343</v>
      </c>
      <c r="C24" s="98" t="s">
        <v>420</v>
      </c>
      <c r="D24" s="101">
        <f>D13+D15</f>
        <v>6</v>
      </c>
    </row>
    <row r="25" spans="2:4" ht="12.75">
      <c r="B25" s="104" t="s">
        <v>342</v>
      </c>
      <c r="C25" s="105" t="s">
        <v>295</v>
      </c>
      <c r="D25" s="106">
        <f>D23*D24</f>
        <v>180</v>
      </c>
    </row>
  </sheetData>
  <sheetProtection password="CA9C" sheet="1" objects="1" scenarios="1" selectLockedCell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J14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6.00390625" style="74" customWidth="1"/>
    <col min="2" max="2" width="5.140625" style="74" customWidth="1"/>
    <col min="3" max="3" width="8.28125" style="74" customWidth="1"/>
    <col min="4" max="4" width="8.421875" style="74" customWidth="1"/>
    <col min="5" max="5" width="9.140625" style="74" customWidth="1"/>
    <col min="6" max="6" width="6.57421875" style="74" customWidth="1"/>
    <col min="7" max="16384" width="9.140625" style="74" customWidth="1"/>
  </cols>
  <sheetData>
    <row r="2" spans="2:9" ht="12.75">
      <c r="B2" s="75" t="s">
        <v>380</v>
      </c>
      <c r="C2" s="75"/>
      <c r="D2" s="75"/>
      <c r="E2" s="75"/>
      <c r="F2" s="75"/>
      <c r="G2" s="75"/>
      <c r="H2" s="75"/>
      <c r="I2" s="75"/>
    </row>
    <row r="3" spans="2:9" ht="3" customHeight="1">
      <c r="B3" s="75"/>
      <c r="C3" s="75"/>
      <c r="D3" s="75"/>
      <c r="E3" s="75"/>
      <c r="F3" s="75"/>
      <c r="G3" s="75"/>
      <c r="H3" s="75"/>
      <c r="I3" s="75"/>
    </row>
    <row r="4" spans="2:8" ht="25.5">
      <c r="B4" s="107" t="s">
        <v>63</v>
      </c>
      <c r="C4" s="108" t="s">
        <v>59</v>
      </c>
      <c r="D4" s="109" t="s">
        <v>64</v>
      </c>
      <c r="E4" s="109" t="s">
        <v>65</v>
      </c>
      <c r="F4" s="110" t="s">
        <v>66</v>
      </c>
      <c r="G4" s="76"/>
      <c r="H4" s="76"/>
    </row>
    <row r="5" spans="2:6" ht="12.75">
      <c r="B5" s="77"/>
      <c r="C5" s="78" t="s">
        <v>10</v>
      </c>
      <c r="D5" s="78" t="s">
        <v>26</v>
      </c>
      <c r="E5" s="78" t="s">
        <v>26</v>
      </c>
      <c r="F5" s="79" t="s">
        <v>26</v>
      </c>
    </row>
    <row r="6" spans="2:6" ht="12.75">
      <c r="B6" s="111">
        <v>2026</v>
      </c>
      <c r="C6" s="113">
        <f>Demand!I9</f>
        <v>135.77020237355208</v>
      </c>
      <c r="D6" s="113">
        <f>(C6*'INPUT DATA'!F31)/100</f>
        <v>40.73106071206562</v>
      </c>
      <c r="E6" s="113">
        <f>'INPUT DATA'!F30</f>
        <v>2.65</v>
      </c>
      <c r="F6" s="99">
        <f>D6-E6</f>
        <v>38.08106071206562</v>
      </c>
    </row>
    <row r="7" spans="2:10" ht="12.75">
      <c r="B7" s="112">
        <v>2041</v>
      </c>
      <c r="C7" s="114">
        <f>Demand!I12</f>
        <v>223.4650869279221</v>
      </c>
      <c r="D7" s="114">
        <f>(C7*'INPUT DATA'!F31)/100</f>
        <v>67.03952607837662</v>
      </c>
      <c r="E7" s="114">
        <f>E6</f>
        <v>2.65</v>
      </c>
      <c r="F7" s="115">
        <f>D7-E7</f>
        <v>64.38952607837662</v>
      </c>
      <c r="J7" s="121"/>
    </row>
    <row r="9" spans="2:8" ht="12.75">
      <c r="B9" s="74" t="s">
        <v>445</v>
      </c>
      <c r="G9" s="121">
        <f>'INPUT DATA'!F33</f>
        <v>1.75</v>
      </c>
      <c r="H9" s="74" t="s">
        <v>26</v>
      </c>
    </row>
    <row r="10" spans="2:8" ht="12.75">
      <c r="B10" s="89" t="s">
        <v>444</v>
      </c>
      <c r="C10" s="89"/>
      <c r="D10" s="89"/>
      <c r="E10" s="89"/>
      <c r="F10" s="89"/>
      <c r="G10" s="122">
        <f>ROUND(D6/G9,0)</f>
        <v>23</v>
      </c>
      <c r="H10" s="74" t="s">
        <v>420</v>
      </c>
    </row>
    <row r="11" spans="2:8" ht="12.75">
      <c r="B11" s="89" t="s">
        <v>446</v>
      </c>
      <c r="C11" s="89"/>
      <c r="D11" s="89"/>
      <c r="E11" s="89"/>
      <c r="F11" s="89"/>
      <c r="G11" s="122">
        <f>ROUND(D7/'INPUT DATA'!F33,0)</f>
        <v>38</v>
      </c>
      <c r="H11" s="74" t="s">
        <v>420</v>
      </c>
    </row>
    <row r="12" spans="2:8" ht="12.75">
      <c r="B12" s="120" t="s">
        <v>443</v>
      </c>
      <c r="G12" s="74">
        <v>1</v>
      </c>
      <c r="H12" s="74" t="s">
        <v>420</v>
      </c>
    </row>
    <row r="13" spans="2:8" ht="12.75">
      <c r="B13" s="74" t="s">
        <v>447</v>
      </c>
      <c r="G13" s="74">
        <f>G10*G12</f>
        <v>23</v>
      </c>
      <c r="H13" s="74" t="s">
        <v>420</v>
      </c>
    </row>
    <row r="14" spans="2:8" ht="12.75">
      <c r="B14" s="74" t="s">
        <v>448</v>
      </c>
      <c r="G14" s="123">
        <f>G11*G12</f>
        <v>38</v>
      </c>
      <c r="H14" s="74" t="s">
        <v>420</v>
      </c>
    </row>
  </sheetData>
  <sheetProtection password="CA9C" sheet="1" objects="1" scenarios="1" selectLockedCell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2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9.140625" style="290" customWidth="1"/>
    <col min="2" max="2" width="4.57421875" style="290" customWidth="1"/>
    <col min="3" max="3" width="38.00390625" style="290" customWidth="1"/>
    <col min="4" max="5" width="12.00390625" style="290" bestFit="1" customWidth="1"/>
    <col min="6" max="6" width="9.140625" style="290" customWidth="1"/>
    <col min="7" max="7" width="15.7109375" style="290" customWidth="1"/>
    <col min="8" max="9" width="9.140625" style="290" customWidth="1"/>
    <col min="10" max="10" width="16.00390625" style="290" customWidth="1"/>
    <col min="11" max="11" width="10.00390625" style="290" bestFit="1" customWidth="1"/>
    <col min="12" max="16384" width="9.140625" style="290" customWidth="1"/>
  </cols>
  <sheetData>
    <row r="2" spans="2:7" s="290" customFormat="1" ht="12.75">
      <c r="B2" s="289" t="s">
        <v>385</v>
      </c>
      <c r="C2" s="289"/>
      <c r="D2" s="289"/>
      <c r="E2" s="289"/>
      <c r="F2" s="289"/>
      <c r="G2" s="289"/>
    </row>
    <row r="3" spans="2:7" s="290" customFormat="1" ht="12.75">
      <c r="B3" s="291" t="s">
        <v>290</v>
      </c>
      <c r="C3" s="292" t="s">
        <v>291</v>
      </c>
      <c r="D3" s="292" t="s">
        <v>8</v>
      </c>
      <c r="E3" s="292" t="s">
        <v>292</v>
      </c>
      <c r="F3" s="292" t="s">
        <v>384</v>
      </c>
      <c r="G3" s="293" t="s">
        <v>294</v>
      </c>
    </row>
    <row r="4" spans="2:7" s="317" customFormat="1" ht="12.75">
      <c r="B4" s="294"/>
      <c r="C4" s="295"/>
      <c r="D4" s="295"/>
      <c r="E4" s="295"/>
      <c r="F4" s="295"/>
      <c r="G4" s="296" t="s">
        <v>55</v>
      </c>
    </row>
    <row r="5" spans="2:7" s="290" customFormat="1" ht="12.75">
      <c r="B5" s="297">
        <v>1</v>
      </c>
      <c r="C5" s="309" t="s">
        <v>340</v>
      </c>
      <c r="D5" s="298">
        <v>1</v>
      </c>
      <c r="E5" s="298">
        <f>'INPUT DATA'!L33</f>
        <v>5000000</v>
      </c>
      <c r="F5" s="309" t="s">
        <v>298</v>
      </c>
      <c r="G5" s="318">
        <f>D5*E5</f>
        <v>5000000</v>
      </c>
    </row>
    <row r="6" spans="2:7" s="290" customFormat="1" ht="12.75">
      <c r="B6" s="297">
        <v>2</v>
      </c>
      <c r="C6" s="309" t="s">
        <v>341</v>
      </c>
      <c r="D6" s="298">
        <f>RWPS!D25</f>
        <v>180</v>
      </c>
      <c r="E6" s="298">
        <f>'INPUT DATA'!L29</f>
        <v>25000</v>
      </c>
      <c r="F6" s="309" t="s">
        <v>344</v>
      </c>
      <c r="G6" s="318">
        <f>D6*E6</f>
        <v>4500000</v>
      </c>
    </row>
    <row r="7" spans="2:7" s="290" customFormat="1" ht="12.75">
      <c r="B7" s="297">
        <v>3</v>
      </c>
      <c r="C7" s="309" t="s">
        <v>345</v>
      </c>
      <c r="D7" s="298">
        <f>Demand!K18</f>
        <v>210</v>
      </c>
      <c r="E7" s="298">
        <f>'INPUT DATA'!L32</f>
        <v>2500000</v>
      </c>
      <c r="F7" s="309" t="s">
        <v>10</v>
      </c>
      <c r="G7" s="318">
        <f>D7*E7</f>
        <v>525000000</v>
      </c>
    </row>
    <row r="8" spans="2:7" s="290" customFormat="1" ht="12.75">
      <c r="B8" s="297">
        <v>4</v>
      </c>
      <c r="C8" s="309" t="s">
        <v>299</v>
      </c>
      <c r="D8" s="298">
        <f>(IF('INPUT DATA'!M21=CWRs!B6,CWRs!F6,CWRs!F7))*10^6</f>
        <v>9544329.255160986</v>
      </c>
      <c r="E8" s="298">
        <f>'INPUT DATA'!L25</f>
        <v>3</v>
      </c>
      <c r="F8" s="309" t="s">
        <v>300</v>
      </c>
      <c r="G8" s="318">
        <f>D8*E8</f>
        <v>28632987.765482955</v>
      </c>
    </row>
    <row r="9" spans="2:7" s="290" customFormat="1" ht="12.75">
      <c r="B9" s="297">
        <v>5</v>
      </c>
      <c r="C9" s="309" t="s">
        <v>301</v>
      </c>
      <c r="D9" s="298">
        <f>(IF('INPUT DATA'!M21=OHSRs!B6,OHSRs!F6,OHSRs!F7))*10^6</f>
        <v>64389526.07837662</v>
      </c>
      <c r="E9" s="298">
        <f>'INPUT DATA'!L24</f>
        <v>8</v>
      </c>
      <c r="F9" s="309" t="s">
        <v>300</v>
      </c>
      <c r="G9" s="318">
        <f>D9*E9</f>
        <v>515116208.62701297</v>
      </c>
    </row>
    <row r="10" spans="2:7" s="290" customFormat="1" ht="12.75">
      <c r="B10" s="297">
        <v>6</v>
      </c>
      <c r="C10" s="309" t="s">
        <v>302</v>
      </c>
      <c r="D10" s="298">
        <f>CWPS!D25</f>
        <v>2040</v>
      </c>
      <c r="E10" s="298">
        <f>'INPUT DATA'!L29</f>
        <v>25000</v>
      </c>
      <c r="F10" s="309" t="s">
        <v>295</v>
      </c>
      <c r="G10" s="318">
        <f>D10*E10</f>
        <v>51000000</v>
      </c>
    </row>
    <row r="11" spans="2:7" s="290" customFormat="1" ht="12.75">
      <c r="B11" s="297">
        <v>7</v>
      </c>
      <c r="C11" s="309" t="s">
        <v>367</v>
      </c>
      <c r="D11" s="298"/>
      <c r="E11" s="298"/>
      <c r="F11" s="309"/>
      <c r="G11" s="318"/>
    </row>
    <row r="12" spans="2:7" s="290" customFormat="1" ht="12.75">
      <c r="B12" s="297"/>
      <c r="C12" s="319">
        <f>'RM Design 1'!H202</f>
        <v>600</v>
      </c>
      <c r="D12" s="320">
        <f>'INPUT DATA'!L35</f>
        <v>50</v>
      </c>
      <c r="E12" s="298">
        <f>1.5*(LOOKUP(C12,'INPUT DATA'!$M$24:$M$37,'INPUT DATA'!$N$24:$N$37))</f>
        <v>10522.5</v>
      </c>
      <c r="F12" s="309" t="s">
        <v>296</v>
      </c>
      <c r="G12" s="318">
        <f>D12*E12</f>
        <v>526125</v>
      </c>
    </row>
    <row r="13" spans="2:7" s="290" customFormat="1" ht="12.75">
      <c r="B13" s="297">
        <v>8</v>
      </c>
      <c r="C13" s="319" t="s">
        <v>370</v>
      </c>
      <c r="D13" s="320">
        <f>CWPS!D8</f>
        <v>53200</v>
      </c>
      <c r="E13" s="298">
        <f>'INPUT DATA'!L30</f>
        <v>8000</v>
      </c>
      <c r="F13" s="309" t="s">
        <v>296</v>
      </c>
      <c r="G13" s="318">
        <f aca="true" t="shared" si="0" ref="G13:G18">D13*E13</f>
        <v>425600000</v>
      </c>
    </row>
    <row r="14" spans="2:7" s="290" customFormat="1" ht="12.75">
      <c r="B14" s="297">
        <v>9</v>
      </c>
      <c r="C14" s="309" t="s">
        <v>303</v>
      </c>
      <c r="D14" s="298">
        <f>Pop_Projection!B16</f>
        <v>1274752</v>
      </c>
      <c r="E14" s="298">
        <f>'INPUT DATA'!L31</f>
        <v>370</v>
      </c>
      <c r="F14" s="309" t="s">
        <v>9</v>
      </c>
      <c r="G14" s="318">
        <f t="shared" si="0"/>
        <v>471658240</v>
      </c>
    </row>
    <row r="15" spans="2:7" s="290" customFormat="1" ht="12.75">
      <c r="B15" s="297">
        <v>10</v>
      </c>
      <c r="C15" s="309" t="s">
        <v>304</v>
      </c>
      <c r="D15" s="298">
        <f>ROUNDUP(('INPUT DATA'!F18*1.1),0)</f>
        <v>30034</v>
      </c>
      <c r="E15" s="298">
        <f>'INPUT DATA'!L28</f>
        <v>2000</v>
      </c>
      <c r="F15" s="309" t="s">
        <v>9</v>
      </c>
      <c r="G15" s="318">
        <f t="shared" si="0"/>
        <v>60068000</v>
      </c>
    </row>
    <row r="16" spans="2:7" s="290" customFormat="1" ht="12.75">
      <c r="B16" s="297">
        <v>11</v>
      </c>
      <c r="C16" s="309" t="s">
        <v>305</v>
      </c>
      <c r="D16" s="298">
        <f>D15</f>
        <v>30034</v>
      </c>
      <c r="E16" s="298">
        <f>'INPUT DATA'!L26</f>
        <v>6000</v>
      </c>
      <c r="F16" s="309" t="s">
        <v>9</v>
      </c>
      <c r="G16" s="318">
        <f t="shared" si="0"/>
        <v>180204000</v>
      </c>
    </row>
    <row r="17" spans="2:7" s="290" customFormat="1" ht="12.75">
      <c r="B17" s="297">
        <v>12</v>
      </c>
      <c r="C17" s="309" t="s">
        <v>368</v>
      </c>
      <c r="D17" s="298">
        <v>1</v>
      </c>
      <c r="E17" s="298">
        <f>'INPUT DATA'!L27</f>
        <v>21600000</v>
      </c>
      <c r="F17" s="309" t="s">
        <v>9</v>
      </c>
      <c r="G17" s="318">
        <f t="shared" si="0"/>
        <v>21600000</v>
      </c>
    </row>
    <row r="18" spans="2:7" s="290" customFormat="1" ht="12.75">
      <c r="B18" s="297">
        <v>13</v>
      </c>
      <c r="C18" s="309" t="s">
        <v>371</v>
      </c>
      <c r="D18" s="298">
        <v>1</v>
      </c>
      <c r="E18" s="298">
        <v>10000000</v>
      </c>
      <c r="F18" s="309"/>
      <c r="G18" s="318">
        <f t="shared" si="0"/>
        <v>10000000</v>
      </c>
    </row>
    <row r="19" spans="2:7" s="290" customFormat="1" ht="12.75">
      <c r="B19" s="297"/>
      <c r="C19" s="309" t="s">
        <v>309</v>
      </c>
      <c r="D19" s="309"/>
      <c r="E19" s="309"/>
      <c r="F19" s="309"/>
      <c r="G19" s="321">
        <f>SUM(G5:G18)</f>
        <v>2298905561.392496</v>
      </c>
    </row>
    <row r="20" spans="2:7" s="290" customFormat="1" ht="12.75">
      <c r="B20" s="297"/>
      <c r="C20" s="309" t="s">
        <v>308</v>
      </c>
      <c r="D20" s="322">
        <v>0.1</v>
      </c>
      <c r="E20" s="309"/>
      <c r="F20" s="309"/>
      <c r="G20" s="318">
        <f>G19*D20</f>
        <v>229890556.13924962</v>
      </c>
    </row>
    <row r="21" spans="2:7" s="290" customFormat="1" ht="12.75">
      <c r="B21" s="297"/>
      <c r="C21" s="309" t="s">
        <v>373</v>
      </c>
      <c r="D21" s="322">
        <v>0.05</v>
      </c>
      <c r="E21" s="309"/>
      <c r="F21" s="309"/>
      <c r="G21" s="318">
        <f>G19*D21</f>
        <v>114945278.06962481</v>
      </c>
    </row>
    <row r="22" spans="2:7" s="290" customFormat="1" ht="12.75">
      <c r="B22" s="302"/>
      <c r="C22" s="315" t="s">
        <v>310</v>
      </c>
      <c r="D22" s="315"/>
      <c r="E22" s="315"/>
      <c r="F22" s="315"/>
      <c r="G22" s="323">
        <f>G19+G20+G21</f>
        <v>2643741395.601371</v>
      </c>
    </row>
  </sheetData>
  <sheetProtection password="CA9C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5"/>
  <sheetViews>
    <sheetView zoomScalePageLayoutView="0" workbookViewId="0" topLeftCell="A1">
      <selection activeCell="G12" sqref="G12"/>
    </sheetView>
  </sheetViews>
  <sheetFormatPr defaultColWidth="9.140625" defaultRowHeight="15"/>
  <cols>
    <col min="1" max="2" width="9.140625" style="328" customWidth="1"/>
    <col min="3" max="3" width="10.28125" style="328" customWidth="1"/>
    <col min="4" max="4" width="11.28125" style="328" bestFit="1" customWidth="1"/>
    <col min="5" max="5" width="9.140625" style="328" customWidth="1"/>
    <col min="6" max="6" width="16.8515625" style="328" customWidth="1"/>
    <col min="7" max="7" width="21.140625" style="328" customWidth="1"/>
    <col min="8" max="8" width="10.140625" style="328" bestFit="1" customWidth="1"/>
    <col min="9" max="9" width="13.7109375" style="328" customWidth="1"/>
    <col min="10" max="10" width="13.140625" style="328" customWidth="1"/>
    <col min="11" max="14" width="9.140625" style="328" customWidth="1"/>
    <col min="15" max="16384" width="9.140625" style="328" customWidth="1"/>
  </cols>
  <sheetData>
    <row r="1" spans="1:13" s="328" customFormat="1" ht="16.5">
      <c r="A1" s="324" t="s">
        <v>87</v>
      </c>
      <c r="B1" s="324" t="s">
        <v>88</v>
      </c>
      <c r="C1" s="325"/>
      <c r="D1" s="325"/>
      <c r="E1" s="326" t="s">
        <v>503</v>
      </c>
      <c r="F1" s="325"/>
      <c r="G1" s="325"/>
      <c r="H1" s="325"/>
      <c r="I1" s="325"/>
      <c r="J1" s="325"/>
      <c r="K1" s="327" t="s">
        <v>89</v>
      </c>
      <c r="L1" s="325"/>
      <c r="M1" s="325"/>
    </row>
    <row r="2" spans="1:13" s="328" customFormat="1" ht="16.5">
      <c r="A2" s="325"/>
      <c r="B2" s="325"/>
      <c r="C2" s="325"/>
      <c r="D2" s="325"/>
      <c r="E2" s="326"/>
      <c r="F2" s="324" t="s">
        <v>90</v>
      </c>
      <c r="G2" s="325" t="s">
        <v>504</v>
      </c>
      <c r="H2" s="329"/>
      <c r="I2" s="330"/>
      <c r="J2" s="325"/>
      <c r="K2" s="324" t="s">
        <v>87</v>
      </c>
      <c r="L2" s="331"/>
      <c r="M2" s="330"/>
    </row>
    <row r="3" spans="1:13" s="328" customFormat="1" ht="16.5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s="328" customFormat="1" ht="16.5">
      <c r="A4" s="324" t="s">
        <v>88</v>
      </c>
      <c r="B4" s="332" t="s">
        <v>91</v>
      </c>
      <c r="C4" s="330"/>
      <c r="D4" s="330"/>
      <c r="E4" s="330"/>
      <c r="F4" s="325"/>
      <c r="G4" s="325"/>
      <c r="H4" s="324"/>
      <c r="I4" s="330"/>
      <c r="J4" s="333" t="s">
        <v>92</v>
      </c>
      <c r="K4" s="333" t="s">
        <v>93</v>
      </c>
      <c r="L4" s="325"/>
      <c r="M4" s="324"/>
    </row>
    <row r="5" spans="1:13" s="328" customFormat="1" ht="16.5">
      <c r="A5" s="325"/>
      <c r="B5" s="334" t="s">
        <v>94</v>
      </c>
      <c r="C5" s="333" t="s">
        <v>319</v>
      </c>
      <c r="D5" s="330"/>
      <c r="E5" s="330"/>
      <c r="F5" s="324" t="s">
        <v>95</v>
      </c>
      <c r="G5" s="335" t="s">
        <v>96</v>
      </c>
      <c r="H5" s="335" t="s">
        <v>96</v>
      </c>
      <c r="I5" s="335" t="s">
        <v>96</v>
      </c>
      <c r="J5" s="335" t="s">
        <v>96</v>
      </c>
      <c r="K5" s="335" t="s">
        <v>96</v>
      </c>
      <c r="L5" s="335" t="s">
        <v>96</v>
      </c>
      <c r="M5" s="335" t="s">
        <v>96</v>
      </c>
    </row>
    <row r="6" spans="1:13" s="328" customFormat="1" ht="16.5">
      <c r="A6" s="325"/>
      <c r="B6" s="324" t="s">
        <v>97</v>
      </c>
      <c r="C6" s="333" t="s">
        <v>320</v>
      </c>
      <c r="D6" s="330"/>
      <c r="E6" s="324"/>
      <c r="F6" s="325"/>
      <c r="G6" s="325"/>
      <c r="H6" s="325"/>
      <c r="I6" s="325"/>
      <c r="J6" s="325"/>
      <c r="K6" s="325"/>
      <c r="L6" s="325"/>
      <c r="M6" s="325"/>
    </row>
    <row r="7" spans="1:13" s="328" customFormat="1" ht="16.5">
      <c r="A7" s="325"/>
      <c r="B7" s="334" t="s">
        <v>98</v>
      </c>
      <c r="C7" s="325"/>
      <c r="D7" s="325"/>
      <c r="E7" s="325"/>
      <c r="F7" s="324" t="s">
        <v>2</v>
      </c>
      <c r="G7" s="334" t="s">
        <v>99</v>
      </c>
      <c r="H7" s="325"/>
      <c r="I7" s="325"/>
      <c r="J7" s="325"/>
      <c r="K7" s="325"/>
      <c r="L7" s="325"/>
      <c r="M7" s="325"/>
    </row>
    <row r="8" spans="1:13" s="328" customFormat="1" ht="16.5">
      <c r="A8" s="325"/>
      <c r="B8" s="325"/>
      <c r="C8" s="325"/>
      <c r="D8" s="325"/>
      <c r="E8" s="325"/>
      <c r="F8" s="325"/>
      <c r="G8" s="325"/>
      <c r="H8" s="325"/>
      <c r="I8" s="336"/>
      <c r="J8" s="337" t="s">
        <v>100</v>
      </c>
      <c r="K8" s="336"/>
      <c r="L8" s="336"/>
      <c r="M8" s="336"/>
    </row>
    <row r="9" spans="1:13" s="328" customFormat="1" ht="16.5">
      <c r="A9" s="325"/>
      <c r="B9" s="324" t="s">
        <v>101</v>
      </c>
      <c r="C9" s="334" t="s">
        <v>102</v>
      </c>
      <c r="D9" s="325"/>
      <c r="E9" s="325"/>
      <c r="F9" s="325">
        <v>2011</v>
      </c>
      <c r="G9" s="338">
        <f>Demand!K6</f>
        <v>15.578592953973512</v>
      </c>
      <c r="H9" s="334" t="s">
        <v>103</v>
      </c>
      <c r="I9" s="337" t="s">
        <v>108</v>
      </c>
      <c r="J9" s="339" t="s">
        <v>269</v>
      </c>
      <c r="K9" s="340" t="s">
        <v>109</v>
      </c>
      <c r="L9" s="337" t="s">
        <v>276</v>
      </c>
      <c r="M9" s="337" t="s">
        <v>270</v>
      </c>
    </row>
    <row r="10" spans="1:13" s="328" customFormat="1" ht="16.5">
      <c r="A10" s="325"/>
      <c r="B10" s="324" t="s">
        <v>106</v>
      </c>
      <c r="C10" s="324" t="s">
        <v>107</v>
      </c>
      <c r="D10" s="325"/>
      <c r="E10" s="325"/>
      <c r="F10" s="341">
        <v>2026</v>
      </c>
      <c r="G10" s="342">
        <f>(Demand!K21)*1.05</f>
        <v>107.10000000000001</v>
      </c>
      <c r="H10" s="334" t="s">
        <v>103</v>
      </c>
      <c r="I10" s="343">
        <v>100</v>
      </c>
      <c r="J10" s="344" t="s">
        <v>115</v>
      </c>
      <c r="K10" s="344" t="s">
        <v>116</v>
      </c>
      <c r="L10" s="343">
        <f>'INPUT DATA'!$F$44</f>
        <v>1</v>
      </c>
      <c r="M10" s="343">
        <v>918</v>
      </c>
    </row>
    <row r="11" spans="1:13" s="328" customFormat="1" ht="16.5">
      <c r="A11" s="325"/>
      <c r="B11" s="324" t="s">
        <v>110</v>
      </c>
      <c r="C11" s="324" t="s">
        <v>111</v>
      </c>
      <c r="D11" s="325"/>
      <c r="E11" s="325"/>
      <c r="F11" s="325">
        <v>2041</v>
      </c>
      <c r="G11" s="338">
        <f>Demand!K23</f>
        <v>220</v>
      </c>
      <c r="H11" s="334" t="s">
        <v>103</v>
      </c>
      <c r="I11" s="343">
        <v>150</v>
      </c>
      <c r="J11" s="344" t="s">
        <v>115</v>
      </c>
      <c r="K11" s="344" t="s">
        <v>116</v>
      </c>
      <c r="L11" s="343">
        <f>'INPUT DATA'!$F$44</f>
        <v>1</v>
      </c>
      <c r="M11" s="343">
        <v>1395</v>
      </c>
    </row>
    <row r="12" spans="1:13" s="328" customFormat="1" ht="16.5">
      <c r="A12" s="325"/>
      <c r="B12" s="325"/>
      <c r="C12" s="325"/>
      <c r="D12" s="325"/>
      <c r="E12" s="325"/>
      <c r="F12" s="325"/>
      <c r="G12" s="330"/>
      <c r="H12" s="325"/>
      <c r="I12" s="343">
        <v>200</v>
      </c>
      <c r="J12" s="344" t="s">
        <v>115</v>
      </c>
      <c r="K12" s="344" t="s">
        <v>116</v>
      </c>
      <c r="L12" s="343">
        <f>'INPUT DATA'!$F$44</f>
        <v>1</v>
      </c>
      <c r="M12" s="343">
        <v>1540</v>
      </c>
    </row>
    <row r="13" spans="1:13" s="328" customFormat="1" ht="16.5">
      <c r="A13" s="325"/>
      <c r="B13" s="334" t="s">
        <v>112</v>
      </c>
      <c r="C13" s="325"/>
      <c r="D13" s="325"/>
      <c r="E13" s="325"/>
      <c r="F13" s="334" t="s">
        <v>113</v>
      </c>
      <c r="G13" s="330">
        <f>'INPUT DATA'!L35</f>
        <v>50</v>
      </c>
      <c r="H13" s="334" t="s">
        <v>114</v>
      </c>
      <c r="I13" s="343">
        <v>250</v>
      </c>
      <c r="J13" s="344" t="s">
        <v>115</v>
      </c>
      <c r="K13" s="344" t="s">
        <v>116</v>
      </c>
      <c r="L13" s="343">
        <f>'INPUT DATA'!$F$44</f>
        <v>1</v>
      </c>
      <c r="M13" s="343">
        <v>2005</v>
      </c>
    </row>
    <row r="14" spans="1:13" s="328" customFormat="1" ht="16.5">
      <c r="A14" s="325"/>
      <c r="B14" s="334" t="s">
        <v>117</v>
      </c>
      <c r="C14" s="325"/>
      <c r="D14" s="325"/>
      <c r="E14" s="325"/>
      <c r="F14" s="334" t="s">
        <v>118</v>
      </c>
      <c r="G14" s="338">
        <f>'INPUT DATA'!L37-'INPUT DATA'!L36</f>
        <v>6.599999999999994</v>
      </c>
      <c r="H14" s="334" t="s">
        <v>114</v>
      </c>
      <c r="I14" s="343">
        <v>300</v>
      </c>
      <c r="J14" s="344" t="s">
        <v>115</v>
      </c>
      <c r="K14" s="344" t="s">
        <v>116</v>
      </c>
      <c r="L14" s="343">
        <f>'INPUT DATA'!$F$44</f>
        <v>1</v>
      </c>
      <c r="M14" s="343">
        <v>2543</v>
      </c>
    </row>
    <row r="15" spans="1:13" s="328" customFormat="1" ht="16.5">
      <c r="A15" s="325"/>
      <c r="B15" s="334" t="s">
        <v>119</v>
      </c>
      <c r="C15" s="325"/>
      <c r="D15" s="325"/>
      <c r="E15" s="325"/>
      <c r="F15" s="334" t="s">
        <v>120</v>
      </c>
      <c r="G15" s="330">
        <f>'INPUT DATA'!L38</f>
        <v>30</v>
      </c>
      <c r="H15" s="334" t="s">
        <v>121</v>
      </c>
      <c r="I15" s="343">
        <v>350</v>
      </c>
      <c r="J15" s="344" t="s">
        <v>115</v>
      </c>
      <c r="K15" s="344" t="s">
        <v>116</v>
      </c>
      <c r="L15" s="343">
        <f>'INPUT DATA'!$F$44</f>
        <v>1</v>
      </c>
      <c r="M15" s="343">
        <v>3197</v>
      </c>
    </row>
    <row r="16" spans="1:13" s="328" customFormat="1" ht="16.5">
      <c r="A16" s="325"/>
      <c r="B16" s="334" t="s">
        <v>122</v>
      </c>
      <c r="C16" s="325"/>
      <c r="D16" s="325"/>
      <c r="E16" s="325"/>
      <c r="F16" s="334" t="s">
        <v>123</v>
      </c>
      <c r="G16" s="330">
        <f>'INPUT DATA'!L39</f>
        <v>78</v>
      </c>
      <c r="H16" s="334" t="s">
        <v>12</v>
      </c>
      <c r="I16" s="343">
        <v>400</v>
      </c>
      <c r="J16" s="344" t="s">
        <v>115</v>
      </c>
      <c r="K16" s="344" t="s">
        <v>116</v>
      </c>
      <c r="L16" s="343">
        <f>'INPUT DATA'!$F$44</f>
        <v>1</v>
      </c>
      <c r="M16" s="343">
        <v>3833</v>
      </c>
    </row>
    <row r="17" spans="1:13" s="328" customFormat="1" ht="16.5">
      <c r="A17" s="325"/>
      <c r="B17" s="334" t="s">
        <v>124</v>
      </c>
      <c r="C17" s="325"/>
      <c r="D17" s="325"/>
      <c r="E17" s="325"/>
      <c r="F17" s="334" t="s">
        <v>125</v>
      </c>
      <c r="G17" s="330">
        <f>'INPUT DATA'!L29</f>
        <v>25000</v>
      </c>
      <c r="H17" s="334" t="s">
        <v>55</v>
      </c>
      <c r="I17" s="343">
        <v>450</v>
      </c>
      <c r="J17" s="344" t="s">
        <v>115</v>
      </c>
      <c r="K17" s="344" t="s">
        <v>116</v>
      </c>
      <c r="L17" s="343">
        <f>'INPUT DATA'!$F$44</f>
        <v>1</v>
      </c>
      <c r="M17" s="343">
        <v>4547</v>
      </c>
    </row>
    <row r="18" spans="1:13" s="328" customFormat="1" ht="16.5">
      <c r="A18" s="325"/>
      <c r="B18" s="334" t="s">
        <v>126</v>
      </c>
      <c r="C18" s="325"/>
      <c r="D18" s="325"/>
      <c r="E18" s="325"/>
      <c r="F18" s="334" t="s">
        <v>127</v>
      </c>
      <c r="G18" s="338">
        <f>'INPUT DATA'!F43</f>
        <v>10</v>
      </c>
      <c r="H18" s="334" t="s">
        <v>12</v>
      </c>
      <c r="I18" s="343">
        <v>500</v>
      </c>
      <c r="J18" s="344" t="s">
        <v>115</v>
      </c>
      <c r="K18" s="344" t="s">
        <v>116</v>
      </c>
      <c r="L18" s="343">
        <f>'INPUT DATA'!$F$44</f>
        <v>1</v>
      </c>
      <c r="M18" s="343">
        <v>5325</v>
      </c>
    </row>
    <row r="19" spans="1:13" s="328" customFormat="1" ht="16.5">
      <c r="A19" s="325"/>
      <c r="B19" s="334" t="s">
        <v>128</v>
      </c>
      <c r="C19" s="325"/>
      <c r="D19" s="325"/>
      <c r="E19" s="325"/>
      <c r="F19" s="324" t="s">
        <v>129</v>
      </c>
      <c r="G19" s="330">
        <v>15</v>
      </c>
      <c r="H19" s="334" t="s">
        <v>121</v>
      </c>
      <c r="I19" s="344">
        <v>600</v>
      </c>
      <c r="J19" s="344" t="s">
        <v>115</v>
      </c>
      <c r="K19" s="344" t="s">
        <v>116</v>
      </c>
      <c r="L19" s="343">
        <f>'INPUT DATA'!$F$44</f>
        <v>1</v>
      </c>
      <c r="M19" s="343">
        <v>7015</v>
      </c>
    </row>
    <row r="20" spans="1:13" s="328" customFormat="1" ht="16.5">
      <c r="A20" s="325"/>
      <c r="B20" s="334" t="s">
        <v>130</v>
      </c>
      <c r="C20" s="325"/>
      <c r="D20" s="325"/>
      <c r="E20" s="325"/>
      <c r="F20" s="334" t="s">
        <v>131</v>
      </c>
      <c r="G20" s="338">
        <f>'INPUT DATA'!F42</f>
        <v>4.75</v>
      </c>
      <c r="H20" s="334" t="s">
        <v>55</v>
      </c>
      <c r="I20" s="344">
        <v>700</v>
      </c>
      <c r="J20" s="344" t="s">
        <v>115</v>
      </c>
      <c r="K20" s="344" t="s">
        <v>116</v>
      </c>
      <c r="L20" s="343">
        <f>'INPUT DATA'!$F$44</f>
        <v>1</v>
      </c>
      <c r="M20" s="343">
        <v>9622</v>
      </c>
    </row>
    <row r="21" spans="1:13" s="328" customFormat="1" ht="16.5">
      <c r="A21" s="325"/>
      <c r="B21" s="334" t="s">
        <v>132</v>
      </c>
      <c r="C21" s="325"/>
      <c r="D21" s="325"/>
      <c r="E21" s="325"/>
      <c r="F21" s="334" t="s">
        <v>133</v>
      </c>
      <c r="G21" s="330">
        <f>'INPUT DATA'!F26</f>
        <v>23</v>
      </c>
      <c r="H21" s="345" t="s">
        <v>134</v>
      </c>
      <c r="I21" s="343">
        <v>800</v>
      </c>
      <c r="J21" s="344" t="s">
        <v>115</v>
      </c>
      <c r="K21" s="344" t="s">
        <v>116</v>
      </c>
      <c r="L21" s="343">
        <f>'INPUT DATA'!$F$44</f>
        <v>1</v>
      </c>
      <c r="M21" s="343">
        <v>12550</v>
      </c>
    </row>
    <row r="22" spans="1:13" s="328" customFormat="1" ht="16.5">
      <c r="A22" s="325"/>
      <c r="B22" s="324"/>
      <c r="C22" s="325"/>
      <c r="D22" s="324" t="s">
        <v>321</v>
      </c>
      <c r="E22" s="325"/>
      <c r="F22" s="334" t="s">
        <v>135</v>
      </c>
      <c r="G22" s="330"/>
      <c r="H22" s="325"/>
      <c r="I22" s="343">
        <v>900</v>
      </c>
      <c r="J22" s="344" t="s">
        <v>115</v>
      </c>
      <c r="K22" s="344" t="s">
        <v>116</v>
      </c>
      <c r="L22" s="343">
        <f>'INPUT DATA'!$F$44</f>
        <v>1</v>
      </c>
      <c r="M22" s="343">
        <v>15314</v>
      </c>
    </row>
    <row r="23" spans="1:13" s="328" customFormat="1" ht="16.5">
      <c r="A23" s="325"/>
      <c r="B23" s="346" t="s">
        <v>280</v>
      </c>
      <c r="C23" s="346"/>
      <c r="D23" s="346"/>
      <c r="E23" s="346"/>
      <c r="F23" s="324" t="s">
        <v>282</v>
      </c>
      <c r="G23" s="344">
        <v>15</v>
      </c>
      <c r="H23" s="335" t="s">
        <v>283</v>
      </c>
      <c r="I23" s="347">
        <v>1000</v>
      </c>
      <c r="J23" s="344" t="s">
        <v>115</v>
      </c>
      <c r="K23" s="344" t="s">
        <v>116</v>
      </c>
      <c r="L23" s="343">
        <f>'INPUT DATA'!$F$44</f>
        <v>1</v>
      </c>
      <c r="M23" s="347">
        <v>18354</v>
      </c>
    </row>
    <row r="24" spans="1:13" s="328" customFormat="1" ht="16.5">
      <c r="A24" s="325"/>
      <c r="B24" s="348" t="s">
        <v>281</v>
      </c>
      <c r="C24" s="348"/>
      <c r="D24" s="348"/>
      <c r="E24" s="348"/>
      <c r="F24" s="324" t="s">
        <v>284</v>
      </c>
      <c r="G24" s="349">
        <f>'INPUT DATA'!F43/100</f>
        <v>0.1</v>
      </c>
      <c r="H24" s="350"/>
      <c r="I24" s="335"/>
      <c r="J24" s="335"/>
      <c r="K24" s="335"/>
      <c r="L24" s="335"/>
      <c r="M24" s="335"/>
    </row>
    <row r="25" spans="1:13" s="328" customFormat="1" ht="16.5">
      <c r="A25" s="325"/>
      <c r="B25" s="325"/>
      <c r="C25" s="325"/>
      <c r="D25" s="325"/>
      <c r="E25" s="325"/>
      <c r="F25" s="324" t="s">
        <v>285</v>
      </c>
      <c r="G25" s="351">
        <f>(1-((1+G24)^(-G19)))/G24</f>
        <v>7.606079506308366</v>
      </c>
      <c r="H25" s="345" t="s">
        <v>286</v>
      </c>
      <c r="I25" s="335"/>
      <c r="J25" s="335"/>
      <c r="K25" s="335"/>
      <c r="L25" s="335"/>
      <c r="M25" s="335"/>
    </row>
    <row r="26" spans="1:13" s="328" customFormat="1" ht="29.25" customHeight="1">
      <c r="A26" s="325"/>
      <c r="B26" s="352" t="s">
        <v>333</v>
      </c>
      <c r="C26" s="352"/>
      <c r="D26" s="352"/>
      <c r="E26" s="352"/>
      <c r="F26" s="324" t="s">
        <v>287</v>
      </c>
      <c r="G26" s="351">
        <f>(1+G24)^15</f>
        <v>4.177248169415655</v>
      </c>
      <c r="H26" s="345" t="s">
        <v>288</v>
      </c>
      <c r="I26" s="335"/>
      <c r="J26" s="335"/>
      <c r="K26" s="335"/>
      <c r="L26" s="335"/>
      <c r="M26" s="335"/>
    </row>
    <row r="27" spans="1:13" s="328" customFormat="1" ht="16.5">
      <c r="A27" s="325"/>
      <c r="B27" s="325"/>
      <c r="C27" s="325"/>
      <c r="D27" s="325"/>
      <c r="E27" s="325"/>
      <c r="F27" s="325"/>
      <c r="G27" s="325"/>
      <c r="H27" s="325"/>
      <c r="I27" s="325"/>
      <c r="J27" s="324" t="s">
        <v>136</v>
      </c>
      <c r="K27" s="325"/>
      <c r="L27" s="325"/>
      <c r="M27" s="325"/>
    </row>
    <row r="28" spans="1:13" s="328" customFormat="1" ht="16.5">
      <c r="A28" s="334" t="s">
        <v>137</v>
      </c>
      <c r="B28" s="325"/>
      <c r="C28" s="325"/>
      <c r="D28" s="325"/>
      <c r="E28" s="325"/>
      <c r="F28" s="325"/>
      <c r="G28" s="334" t="s">
        <v>138</v>
      </c>
      <c r="H28" s="325"/>
      <c r="I28" s="334" t="s">
        <v>139</v>
      </c>
      <c r="J28" s="325"/>
      <c r="K28" s="325"/>
      <c r="L28" s="325"/>
      <c r="M28" s="325"/>
    </row>
    <row r="29" spans="1:13" s="328" customFormat="1" ht="16.5">
      <c r="A29" s="325"/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</row>
    <row r="30" spans="1:13" s="328" customFormat="1" ht="16.5">
      <c r="A30" s="325"/>
      <c r="B30" s="334" t="s">
        <v>140</v>
      </c>
      <c r="C30" s="325"/>
      <c r="D30" s="325"/>
      <c r="E30" s="325"/>
      <c r="F30" s="325"/>
      <c r="G30" s="338">
        <f>G9</f>
        <v>15.578592953973512</v>
      </c>
      <c r="H30" s="353" t="s">
        <v>103</v>
      </c>
      <c r="I30" s="342">
        <f>G10</f>
        <v>107.10000000000001</v>
      </c>
      <c r="J30" s="334" t="s">
        <v>103</v>
      </c>
      <c r="K30" s="325"/>
      <c r="L30" s="325"/>
      <c r="M30" s="325"/>
    </row>
    <row r="31" spans="1:13" s="328" customFormat="1" ht="16.5">
      <c r="A31" s="325"/>
      <c r="B31" s="334" t="s">
        <v>141</v>
      </c>
      <c r="C31" s="325"/>
      <c r="D31" s="325"/>
      <c r="E31" s="325"/>
      <c r="F31" s="325"/>
      <c r="G31" s="342">
        <f>G10</f>
        <v>107.10000000000001</v>
      </c>
      <c r="H31" s="353" t="s">
        <v>103</v>
      </c>
      <c r="I31" s="342">
        <f>G11</f>
        <v>220</v>
      </c>
      <c r="J31" s="334" t="s">
        <v>103</v>
      </c>
      <c r="K31" s="325"/>
      <c r="L31" s="325"/>
      <c r="M31" s="325"/>
    </row>
    <row r="32" spans="1:13" s="328" customFormat="1" ht="16.5">
      <c r="A32" s="325"/>
      <c r="B32" s="334" t="s">
        <v>142</v>
      </c>
      <c r="C32" s="325"/>
      <c r="D32" s="325"/>
      <c r="E32" s="325"/>
      <c r="F32" s="325"/>
      <c r="G32" s="342">
        <f>(G30+G31)/2</f>
        <v>61.33929647698676</v>
      </c>
      <c r="H32" s="353" t="s">
        <v>103</v>
      </c>
      <c r="I32" s="342">
        <f>(I30+I31)/2</f>
        <v>163.55</v>
      </c>
      <c r="J32" s="334" t="s">
        <v>103</v>
      </c>
      <c r="K32" s="325"/>
      <c r="L32" s="325"/>
      <c r="M32" s="325"/>
    </row>
    <row r="33" spans="1:13" s="328" customFormat="1" ht="16.5">
      <c r="A33" s="325"/>
      <c r="B33" s="334" t="s">
        <v>143</v>
      </c>
      <c r="C33" s="325"/>
      <c r="D33" s="325"/>
      <c r="E33" s="325"/>
      <c r="F33" s="325"/>
      <c r="G33" s="342">
        <f>(G32/G31)*G21</f>
        <v>13.17277141896074</v>
      </c>
      <c r="H33" s="353" t="s">
        <v>134</v>
      </c>
      <c r="I33" s="342">
        <f>(I32/I31)*G21</f>
        <v>17.09840909090909</v>
      </c>
      <c r="J33" s="334" t="s">
        <v>134</v>
      </c>
      <c r="K33" s="325"/>
      <c r="L33" s="325"/>
      <c r="M33" s="325"/>
    </row>
    <row r="34" spans="1:13" s="328" customFormat="1" ht="16.5">
      <c r="A34" s="325"/>
      <c r="B34" s="334" t="s">
        <v>144</v>
      </c>
      <c r="C34" s="325"/>
      <c r="D34" s="325"/>
      <c r="E34" s="325"/>
      <c r="F34" s="325"/>
      <c r="G34" s="354">
        <f>(G31*1000000*100*24)/(60*60*24*102*G21*G16)</f>
        <v>16.257896692679306</v>
      </c>
      <c r="H34" s="353" t="s">
        <v>145</v>
      </c>
      <c r="I34" s="342">
        <f>(I31*1000000*100*24)/(60*60*24*102*G21*G16)</f>
        <v>33.3962397048501</v>
      </c>
      <c r="J34" s="334" t="s">
        <v>146</v>
      </c>
      <c r="K34" s="325"/>
      <c r="L34" s="325"/>
      <c r="M34" s="325"/>
    </row>
    <row r="35" spans="1:13" s="328" customFormat="1" ht="16.5">
      <c r="A35" s="325"/>
      <c r="B35" s="334" t="s">
        <v>147</v>
      </c>
      <c r="C35" s="325"/>
      <c r="D35" s="325"/>
      <c r="E35" s="325"/>
      <c r="F35" s="325"/>
      <c r="G35" s="342"/>
      <c r="H35" s="342"/>
      <c r="I35" s="342"/>
      <c r="J35" s="325"/>
      <c r="K35" s="325"/>
      <c r="L35" s="325"/>
      <c r="M35" s="325"/>
    </row>
    <row r="36" spans="1:13" s="328" customFormat="1" ht="16.5">
      <c r="A36" s="325"/>
      <c r="B36" s="334" t="s">
        <v>148</v>
      </c>
      <c r="C36" s="325"/>
      <c r="D36" s="325"/>
      <c r="E36" s="325"/>
      <c r="F36" s="325"/>
      <c r="G36" s="342"/>
      <c r="H36" s="342"/>
      <c r="I36" s="342"/>
      <c r="J36" s="325"/>
      <c r="K36" s="325"/>
      <c r="L36" s="325"/>
      <c r="M36" s="325"/>
    </row>
    <row r="37" spans="1:13" s="328" customFormat="1" ht="16.5">
      <c r="A37" s="325"/>
      <c r="B37" s="334" t="s">
        <v>149</v>
      </c>
      <c r="C37" s="325"/>
      <c r="D37" s="325"/>
      <c r="E37" s="325"/>
      <c r="F37" s="325"/>
      <c r="G37" s="325">
        <f>G34*G33*365.25*G20</f>
        <v>371556.9160994576</v>
      </c>
      <c r="H37" s="353" t="s">
        <v>271</v>
      </c>
      <c r="I37" s="325">
        <f>I34*I33*365.25*G20</f>
        <v>990688.4675611695</v>
      </c>
      <c r="J37" s="334" t="s">
        <v>146</v>
      </c>
      <c r="K37" s="325"/>
      <c r="L37" s="325"/>
      <c r="M37" s="325"/>
    </row>
    <row r="38" spans="1:13" s="328" customFormat="1" ht="16.5">
      <c r="A38" s="325"/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</row>
    <row r="39" s="328" customFormat="1" ht="16.5">
      <c r="D39" s="328" t="s">
        <v>150</v>
      </c>
    </row>
    <row r="40" spans="6:7" s="328" customFormat="1" ht="16.5">
      <c r="F40" s="328" t="s">
        <v>151</v>
      </c>
      <c r="G40" s="328" t="s">
        <v>386</v>
      </c>
    </row>
    <row r="42" spans="6:7" s="328" customFormat="1" ht="16.5">
      <c r="F42" s="328" t="s">
        <v>152</v>
      </c>
      <c r="G42" s="328" t="s">
        <v>387</v>
      </c>
    </row>
    <row r="45" spans="1:10" s="328" customFormat="1" ht="16.5">
      <c r="A45" s="355" t="s">
        <v>153</v>
      </c>
      <c r="B45" s="355"/>
      <c r="C45" s="355"/>
      <c r="D45" s="355"/>
      <c r="E45" s="355"/>
      <c r="F45" s="355"/>
      <c r="G45" s="355"/>
      <c r="H45" s="355"/>
      <c r="I45" s="355"/>
      <c r="J45" s="355"/>
    </row>
    <row r="46" spans="1:11" s="328" customFormat="1" ht="16.5">
      <c r="A46" s="356" t="s">
        <v>154</v>
      </c>
      <c r="B46" s="357" t="s">
        <v>155</v>
      </c>
      <c r="C46" s="357" t="s">
        <v>156</v>
      </c>
      <c r="D46" s="357" t="s">
        <v>157</v>
      </c>
      <c r="E46" s="357" t="s">
        <v>158</v>
      </c>
      <c r="F46" s="356" t="s">
        <v>272</v>
      </c>
      <c r="G46" s="357">
        <v>994.62</v>
      </c>
      <c r="H46" s="357" t="s">
        <v>159</v>
      </c>
      <c r="I46" s="357" t="s">
        <v>273</v>
      </c>
      <c r="J46" s="356" t="s">
        <v>160</v>
      </c>
      <c r="K46" s="356"/>
    </row>
    <row r="47" spans="1:11" s="328" customFormat="1" ht="16.5">
      <c r="A47" s="357">
        <v>100</v>
      </c>
      <c r="B47" s="358">
        <f>G13</f>
        <v>50</v>
      </c>
      <c r="C47" s="357">
        <f>$G$31/1000</f>
        <v>0.10710000000000001</v>
      </c>
      <c r="D47" s="358">
        <f>L10</f>
        <v>1</v>
      </c>
      <c r="E47" s="357">
        <f>C47/D47</f>
        <v>0.10710000000000001</v>
      </c>
      <c r="F47" s="357">
        <f>POWER(E47,1.81)</f>
        <v>0.017535531838013773</v>
      </c>
      <c r="G47" s="357">
        <v>994.62</v>
      </c>
      <c r="H47" s="357">
        <f>A47/1000</f>
        <v>0.1</v>
      </c>
      <c r="I47" s="359">
        <f>POWER(H47,4.81)</f>
        <v>1.5488166189124838E-05</v>
      </c>
      <c r="J47" s="360">
        <f>(B47*F47)/(G47*I47)</f>
        <v>56.91565768627929</v>
      </c>
      <c r="K47" s="361"/>
    </row>
    <row r="48" spans="1:11" s="328" customFormat="1" ht="16.5">
      <c r="A48" s="357">
        <v>150</v>
      </c>
      <c r="B48" s="358">
        <f>B47</f>
        <v>50</v>
      </c>
      <c r="C48" s="357">
        <f aca="true" t="shared" si="0" ref="C48:C60">$G$31/1000</f>
        <v>0.10710000000000001</v>
      </c>
      <c r="D48" s="358">
        <f>L11</f>
        <v>1</v>
      </c>
      <c r="E48" s="357">
        <f>C48/D48</f>
        <v>0.10710000000000001</v>
      </c>
      <c r="F48" s="357">
        <f>POWER(E48,1.81)</f>
        <v>0.017535531838013773</v>
      </c>
      <c r="G48" s="357">
        <v>994.62</v>
      </c>
      <c r="H48" s="357">
        <f aca="true" t="shared" si="1" ref="H48:H60">A48/1000</f>
        <v>0.15</v>
      </c>
      <c r="I48" s="359">
        <f aca="true" t="shared" si="2" ref="I48:I60">POWER(H48,4.81)</f>
        <v>0.00010889274758037868</v>
      </c>
      <c r="J48" s="356">
        <f aca="true" t="shared" si="3" ref="J48:J60">(B48*F48)/(G48*I48)</f>
        <v>8.095297295696803</v>
      </c>
      <c r="K48" s="361"/>
    </row>
    <row r="49" spans="1:11" s="328" customFormat="1" ht="16.5">
      <c r="A49" s="357">
        <v>200</v>
      </c>
      <c r="B49" s="358">
        <f>B48</f>
        <v>50</v>
      </c>
      <c r="C49" s="357">
        <f t="shared" si="0"/>
        <v>0.10710000000000001</v>
      </c>
      <c r="D49" s="358">
        <f>L12</f>
        <v>1</v>
      </c>
      <c r="E49" s="357">
        <f>C49/D49</f>
        <v>0.10710000000000001</v>
      </c>
      <c r="F49" s="357">
        <f>POWER(E49,1.81)</f>
        <v>0.017535531838013773</v>
      </c>
      <c r="G49" s="357">
        <v>994.62</v>
      </c>
      <c r="H49" s="357">
        <f t="shared" si="1"/>
        <v>0.2</v>
      </c>
      <c r="I49" s="359">
        <f t="shared" si="2"/>
        <v>0.00043446448301057286</v>
      </c>
      <c r="J49" s="356">
        <f t="shared" si="3"/>
        <v>2.0289786610404743</v>
      </c>
      <c r="K49" s="361"/>
    </row>
    <row r="50" spans="1:10" s="328" customFormat="1" ht="16.5">
      <c r="A50" s="357">
        <v>250</v>
      </c>
      <c r="B50" s="358">
        <f>B47</f>
        <v>50</v>
      </c>
      <c r="C50" s="357">
        <f t="shared" si="0"/>
        <v>0.10710000000000001</v>
      </c>
      <c r="D50" s="358">
        <f aca="true" t="shared" si="4" ref="D50:D60">L13</f>
        <v>1</v>
      </c>
      <c r="E50" s="357">
        <f aca="true" t="shared" si="5" ref="E50:E60">C50/D50</f>
        <v>0.10710000000000001</v>
      </c>
      <c r="F50" s="357">
        <f aca="true" t="shared" si="6" ref="F50:F60">POWER(E50,1.81)</f>
        <v>0.017535531838013773</v>
      </c>
      <c r="G50" s="357">
        <v>994.62</v>
      </c>
      <c r="H50" s="357">
        <f t="shared" si="1"/>
        <v>0.25</v>
      </c>
      <c r="I50" s="359">
        <f t="shared" si="2"/>
        <v>0.0012708416557050137</v>
      </c>
      <c r="J50" s="356">
        <f t="shared" si="3"/>
        <v>0.6936498823839712</v>
      </c>
    </row>
    <row r="51" spans="1:10" s="328" customFormat="1" ht="16.5">
      <c r="A51" s="357">
        <v>300</v>
      </c>
      <c r="B51" s="358">
        <f>B47</f>
        <v>50</v>
      </c>
      <c r="C51" s="357">
        <f t="shared" si="0"/>
        <v>0.10710000000000001</v>
      </c>
      <c r="D51" s="358">
        <f t="shared" si="4"/>
        <v>1</v>
      </c>
      <c r="E51" s="357">
        <f t="shared" si="5"/>
        <v>0.10710000000000001</v>
      </c>
      <c r="F51" s="357">
        <f t="shared" si="6"/>
        <v>0.017535531838013773</v>
      </c>
      <c r="G51" s="357">
        <v>994.62</v>
      </c>
      <c r="H51" s="357">
        <f t="shared" si="1"/>
        <v>0.3</v>
      </c>
      <c r="I51" s="359">
        <f t="shared" si="2"/>
        <v>0.0030545921772410483</v>
      </c>
      <c r="J51" s="362">
        <f t="shared" si="3"/>
        <v>0.288588169503084</v>
      </c>
    </row>
    <row r="52" spans="1:10" s="328" customFormat="1" ht="16.5">
      <c r="A52" s="357">
        <v>350</v>
      </c>
      <c r="B52" s="358">
        <f>B47</f>
        <v>50</v>
      </c>
      <c r="C52" s="357">
        <f t="shared" si="0"/>
        <v>0.10710000000000001</v>
      </c>
      <c r="D52" s="358">
        <f t="shared" si="4"/>
        <v>1</v>
      </c>
      <c r="E52" s="357">
        <f t="shared" si="5"/>
        <v>0.10710000000000001</v>
      </c>
      <c r="F52" s="357">
        <f t="shared" si="6"/>
        <v>0.017535531838013773</v>
      </c>
      <c r="G52" s="357">
        <v>994.62</v>
      </c>
      <c r="H52" s="357">
        <f t="shared" si="1"/>
        <v>0.35</v>
      </c>
      <c r="I52" s="359">
        <f t="shared" si="2"/>
        <v>0.006411612889726306</v>
      </c>
      <c r="J52" s="356">
        <f t="shared" si="3"/>
        <v>0.13748789581806203</v>
      </c>
    </row>
    <row r="53" spans="1:10" s="328" customFormat="1" ht="16.5">
      <c r="A53" s="357">
        <v>400</v>
      </c>
      <c r="B53" s="358">
        <f>B47</f>
        <v>50</v>
      </c>
      <c r="C53" s="357">
        <f t="shared" si="0"/>
        <v>0.10710000000000001</v>
      </c>
      <c r="D53" s="358">
        <f t="shared" si="4"/>
        <v>1</v>
      </c>
      <c r="E53" s="357">
        <f t="shared" si="5"/>
        <v>0.10710000000000001</v>
      </c>
      <c r="F53" s="357">
        <f t="shared" si="6"/>
        <v>0.017535531838013773</v>
      </c>
      <c r="G53" s="357">
        <v>994.62</v>
      </c>
      <c r="H53" s="357">
        <f t="shared" si="1"/>
        <v>0.4</v>
      </c>
      <c r="I53" s="359">
        <f t="shared" si="2"/>
        <v>0.012187329648501794</v>
      </c>
      <c r="J53" s="362">
        <f t="shared" si="3"/>
        <v>0.07233078864957103</v>
      </c>
    </row>
    <row r="54" spans="1:10" s="328" customFormat="1" ht="16.5">
      <c r="A54" s="357">
        <v>450</v>
      </c>
      <c r="B54" s="358">
        <f>B47</f>
        <v>50</v>
      </c>
      <c r="C54" s="357">
        <f t="shared" si="0"/>
        <v>0.10710000000000001</v>
      </c>
      <c r="D54" s="358">
        <f t="shared" si="4"/>
        <v>1</v>
      </c>
      <c r="E54" s="357">
        <f t="shared" si="5"/>
        <v>0.10710000000000001</v>
      </c>
      <c r="F54" s="357">
        <f t="shared" si="6"/>
        <v>0.017535531838013773</v>
      </c>
      <c r="G54" s="357">
        <v>994.62</v>
      </c>
      <c r="H54" s="357">
        <f t="shared" si="1"/>
        <v>0.45</v>
      </c>
      <c r="I54" s="359">
        <f t="shared" si="2"/>
        <v>0.02147594046032795</v>
      </c>
      <c r="J54" s="356">
        <f t="shared" si="3"/>
        <v>0.041046824777561934</v>
      </c>
    </row>
    <row r="55" spans="1:10" s="328" customFormat="1" ht="16.5">
      <c r="A55" s="357">
        <v>500</v>
      </c>
      <c r="B55" s="358">
        <f>B47</f>
        <v>50</v>
      </c>
      <c r="C55" s="357">
        <f t="shared" si="0"/>
        <v>0.10710000000000001</v>
      </c>
      <c r="D55" s="358">
        <f t="shared" si="4"/>
        <v>1</v>
      </c>
      <c r="E55" s="357">
        <f t="shared" si="5"/>
        <v>0.10710000000000001</v>
      </c>
      <c r="F55" s="357">
        <f t="shared" si="6"/>
        <v>0.017535531838013773</v>
      </c>
      <c r="G55" s="357">
        <v>994.62</v>
      </c>
      <c r="H55" s="357">
        <f t="shared" si="1"/>
        <v>0.5</v>
      </c>
      <c r="I55" s="359">
        <f t="shared" si="2"/>
        <v>0.035648866120888245</v>
      </c>
      <c r="J55" s="356">
        <f t="shared" si="3"/>
        <v>0.02472783179187607</v>
      </c>
    </row>
    <row r="56" spans="1:10" s="328" customFormat="1" ht="16.5">
      <c r="A56" s="357">
        <v>600</v>
      </c>
      <c r="B56" s="358">
        <f>B47</f>
        <v>50</v>
      </c>
      <c r="C56" s="357">
        <f t="shared" si="0"/>
        <v>0.10710000000000001</v>
      </c>
      <c r="D56" s="358">
        <f t="shared" si="4"/>
        <v>1</v>
      </c>
      <c r="E56" s="357">
        <f t="shared" si="5"/>
        <v>0.10710000000000001</v>
      </c>
      <c r="F56" s="357">
        <f t="shared" si="6"/>
        <v>0.017535531838013773</v>
      </c>
      <c r="G56" s="357">
        <v>994.62</v>
      </c>
      <c r="H56" s="357">
        <f t="shared" si="1"/>
        <v>0.6</v>
      </c>
      <c r="I56" s="359">
        <f t="shared" si="2"/>
        <v>0.08568553532341466</v>
      </c>
      <c r="J56" s="356">
        <f t="shared" si="3"/>
        <v>0.01028784101868764</v>
      </c>
    </row>
    <row r="57" spans="1:10" s="328" customFormat="1" ht="16.5">
      <c r="A57" s="357">
        <v>700</v>
      </c>
      <c r="B57" s="358">
        <f>B47</f>
        <v>50</v>
      </c>
      <c r="C57" s="357">
        <f t="shared" si="0"/>
        <v>0.10710000000000001</v>
      </c>
      <c r="D57" s="358">
        <f t="shared" si="4"/>
        <v>1</v>
      </c>
      <c r="E57" s="357">
        <f t="shared" si="5"/>
        <v>0.10710000000000001</v>
      </c>
      <c r="F57" s="357">
        <f t="shared" si="6"/>
        <v>0.017535531838013773</v>
      </c>
      <c r="G57" s="357">
        <v>994.62</v>
      </c>
      <c r="H57" s="357">
        <f t="shared" si="1"/>
        <v>0.7</v>
      </c>
      <c r="I57" s="359">
        <f t="shared" si="2"/>
        <v>0.17985460934392697</v>
      </c>
      <c r="J57" s="356">
        <f t="shared" si="3"/>
        <v>0.0049012875912607225</v>
      </c>
    </row>
    <row r="58" spans="1:10" s="328" customFormat="1" ht="16.5">
      <c r="A58" s="357">
        <v>800</v>
      </c>
      <c r="B58" s="358">
        <f>B47</f>
        <v>50</v>
      </c>
      <c r="C58" s="357">
        <f t="shared" si="0"/>
        <v>0.10710000000000001</v>
      </c>
      <c r="D58" s="358">
        <f t="shared" si="4"/>
        <v>1</v>
      </c>
      <c r="E58" s="357">
        <f t="shared" si="5"/>
        <v>0.10710000000000001</v>
      </c>
      <c r="F58" s="357">
        <f t="shared" si="6"/>
        <v>0.017535531838013773</v>
      </c>
      <c r="G58" s="357">
        <v>994.62</v>
      </c>
      <c r="H58" s="357">
        <f t="shared" si="1"/>
        <v>0.8</v>
      </c>
      <c r="I58" s="359">
        <f t="shared" si="2"/>
        <v>0.3418714527181189</v>
      </c>
      <c r="J58" s="356">
        <f t="shared" si="3"/>
        <v>0.0025785106009868198</v>
      </c>
    </row>
    <row r="59" spans="1:10" s="328" customFormat="1" ht="16.5">
      <c r="A59" s="357">
        <v>900</v>
      </c>
      <c r="B59" s="358">
        <f>B47</f>
        <v>50</v>
      </c>
      <c r="C59" s="357">
        <f t="shared" si="0"/>
        <v>0.10710000000000001</v>
      </c>
      <c r="D59" s="358">
        <f t="shared" si="4"/>
        <v>1</v>
      </c>
      <c r="E59" s="357">
        <f t="shared" si="5"/>
        <v>0.10710000000000001</v>
      </c>
      <c r="F59" s="357">
        <f t="shared" si="6"/>
        <v>0.017535531838013773</v>
      </c>
      <c r="G59" s="357">
        <v>994.62</v>
      </c>
      <c r="H59" s="357">
        <f t="shared" si="1"/>
        <v>0.9</v>
      </c>
      <c r="I59" s="359">
        <f t="shared" si="2"/>
        <v>0.6024298329013119</v>
      </c>
      <c r="J59" s="362">
        <f t="shared" si="3"/>
        <v>0.001463272761182864</v>
      </c>
    </row>
    <row r="60" spans="1:10" s="328" customFormat="1" ht="16.5">
      <c r="A60" s="357">
        <v>1000</v>
      </c>
      <c r="B60" s="358">
        <f>B47</f>
        <v>50</v>
      </c>
      <c r="C60" s="357">
        <f t="shared" si="0"/>
        <v>0.10710000000000001</v>
      </c>
      <c r="D60" s="358">
        <f t="shared" si="4"/>
        <v>1</v>
      </c>
      <c r="E60" s="357">
        <f t="shared" si="5"/>
        <v>0.10710000000000001</v>
      </c>
      <c r="F60" s="357">
        <f t="shared" si="6"/>
        <v>0.017535531838013773</v>
      </c>
      <c r="G60" s="357">
        <v>994.62</v>
      </c>
      <c r="H60" s="357">
        <f t="shared" si="1"/>
        <v>1</v>
      </c>
      <c r="I60" s="359">
        <f t="shared" si="2"/>
        <v>1</v>
      </c>
      <c r="J60" s="362">
        <f t="shared" si="3"/>
        <v>0.0008815191650084341</v>
      </c>
    </row>
    <row r="61" spans="1:10" s="328" customFormat="1" ht="16.5">
      <c r="A61" s="355"/>
      <c r="B61" s="355"/>
      <c r="C61" s="355"/>
      <c r="D61" s="355"/>
      <c r="E61" s="355"/>
      <c r="F61" s="355"/>
      <c r="G61" s="355"/>
      <c r="H61" s="355"/>
      <c r="I61" s="355"/>
      <c r="J61" s="355"/>
    </row>
    <row r="62" spans="1:10" s="328" customFormat="1" ht="16.5">
      <c r="A62" s="355" t="s">
        <v>161</v>
      </c>
      <c r="B62" s="355"/>
      <c r="C62" s="355"/>
      <c r="D62" s="355"/>
      <c r="E62" s="355"/>
      <c r="F62" s="355"/>
      <c r="G62" s="355"/>
      <c r="H62" s="355"/>
      <c r="I62" s="355"/>
      <c r="J62" s="355"/>
    </row>
    <row r="63" spans="1:10" s="328" customFormat="1" ht="16.5">
      <c r="A63" s="356" t="s">
        <v>154</v>
      </c>
      <c r="B63" s="356">
        <v>143.534</v>
      </c>
      <c r="C63" s="357" t="s">
        <v>157</v>
      </c>
      <c r="D63" s="356" t="s">
        <v>275</v>
      </c>
      <c r="E63" s="356" t="s">
        <v>162</v>
      </c>
      <c r="F63" s="356" t="s">
        <v>163</v>
      </c>
      <c r="G63" s="356" t="s">
        <v>274</v>
      </c>
      <c r="H63" s="356" t="s">
        <v>164</v>
      </c>
      <c r="I63" s="355"/>
      <c r="J63" s="355"/>
    </row>
    <row r="64" spans="1:10" s="328" customFormat="1" ht="16.5">
      <c r="A64" s="357">
        <v>100</v>
      </c>
      <c r="B64" s="356">
        <v>143.534</v>
      </c>
      <c r="C64" s="358">
        <f>L10</f>
        <v>1</v>
      </c>
      <c r="D64" s="357">
        <f>A64/(4*1000)</f>
        <v>0.025</v>
      </c>
      <c r="E64" s="357">
        <f>POWER(D64,0.6575)</f>
        <v>0.08843935279075198</v>
      </c>
      <c r="F64" s="363">
        <f>J47/B47</f>
        <v>1.1383131537255857</v>
      </c>
      <c r="G64" s="357">
        <f>POWER(F64,0.5525)</f>
        <v>1.07419869214241</v>
      </c>
      <c r="H64" s="357">
        <f>B64*C64*E64*G64</f>
        <v>13.63593627296215</v>
      </c>
      <c r="I64" s="355"/>
      <c r="J64" s="355"/>
    </row>
    <row r="65" spans="1:10" s="328" customFormat="1" ht="16.5">
      <c r="A65" s="357">
        <v>150</v>
      </c>
      <c r="B65" s="356">
        <v>143.534</v>
      </c>
      <c r="C65" s="358">
        <f aca="true" t="shared" si="7" ref="C65:C77">L11</f>
        <v>1</v>
      </c>
      <c r="D65" s="357">
        <f aca="true" t="shared" si="8" ref="D65:D77">A65/(4*1000)</f>
        <v>0.0375</v>
      </c>
      <c r="E65" s="357">
        <f aca="true" t="shared" si="9" ref="E65:E77">POWER(D65,0.6575)</f>
        <v>0.11545840629936406</v>
      </c>
      <c r="F65" s="363">
        <f aca="true" t="shared" si="10" ref="F65:F77">J48/B48</f>
        <v>0.16190594591393606</v>
      </c>
      <c r="G65" s="357">
        <f aca="true" t="shared" si="11" ref="G65:G77">POWER(F65,0.5525)</f>
        <v>0.36569388312343043</v>
      </c>
      <c r="H65" s="357">
        <f aca="true" t="shared" si="12" ref="H65:H77">B65*C65*E65*G65</f>
        <v>6.060354689445927</v>
      </c>
      <c r="I65" s="355"/>
      <c r="J65" s="355"/>
    </row>
    <row r="66" spans="1:10" s="328" customFormat="1" ht="16.5">
      <c r="A66" s="357">
        <v>200</v>
      </c>
      <c r="B66" s="356">
        <v>143.534</v>
      </c>
      <c r="C66" s="358">
        <f t="shared" si="7"/>
        <v>1</v>
      </c>
      <c r="D66" s="357">
        <f t="shared" si="8"/>
        <v>0.05</v>
      </c>
      <c r="E66" s="357">
        <f t="shared" si="9"/>
        <v>0.13949954074708198</v>
      </c>
      <c r="F66" s="363">
        <f t="shared" si="10"/>
        <v>0.04057957322080949</v>
      </c>
      <c r="G66" s="357">
        <f t="shared" si="11"/>
        <v>0.1702510817558747</v>
      </c>
      <c r="H66" s="357">
        <f t="shared" si="12"/>
        <v>3.40892499555998</v>
      </c>
      <c r="I66" s="355"/>
      <c r="J66" s="355"/>
    </row>
    <row r="67" spans="1:10" s="328" customFormat="1" ht="16.5">
      <c r="A67" s="357">
        <v>250</v>
      </c>
      <c r="B67" s="357">
        <v>143.534</v>
      </c>
      <c r="C67" s="358">
        <f t="shared" si="7"/>
        <v>1</v>
      </c>
      <c r="D67" s="357">
        <f t="shared" si="8"/>
        <v>0.0625</v>
      </c>
      <c r="E67" s="357">
        <f t="shared" si="9"/>
        <v>0.16154410382968654</v>
      </c>
      <c r="F67" s="363">
        <f t="shared" si="10"/>
        <v>0.013872997647679424</v>
      </c>
      <c r="G67" s="357">
        <f t="shared" si="11"/>
        <v>0.09409121957522683</v>
      </c>
      <c r="H67" s="357">
        <f t="shared" si="12"/>
        <v>2.1816998263182605</v>
      </c>
      <c r="I67" s="355"/>
      <c r="J67" s="355"/>
    </row>
    <row r="68" spans="1:10" s="328" customFormat="1" ht="16.5">
      <c r="A68" s="357">
        <v>300</v>
      </c>
      <c r="B68" s="357">
        <v>143.534</v>
      </c>
      <c r="C68" s="358">
        <f t="shared" si="7"/>
        <v>1</v>
      </c>
      <c r="D68" s="357">
        <f t="shared" si="8"/>
        <v>0.075</v>
      </c>
      <c r="E68" s="357">
        <f t="shared" si="9"/>
        <v>0.18211796158503227</v>
      </c>
      <c r="F68" s="363">
        <f t="shared" si="10"/>
        <v>0.00577176339006168</v>
      </c>
      <c r="G68" s="357">
        <f t="shared" si="11"/>
        <v>0.05795927666705483</v>
      </c>
      <c r="H68" s="357">
        <f t="shared" si="12"/>
        <v>1.5150624181029198</v>
      </c>
      <c r="I68" s="355"/>
      <c r="J68" s="355"/>
    </row>
    <row r="69" spans="1:10" s="328" customFormat="1" ht="16.5">
      <c r="A69" s="357">
        <v>350</v>
      </c>
      <c r="B69" s="357">
        <v>143.534</v>
      </c>
      <c r="C69" s="358">
        <f t="shared" si="7"/>
        <v>1</v>
      </c>
      <c r="D69" s="357">
        <f t="shared" si="8"/>
        <v>0.0875</v>
      </c>
      <c r="E69" s="357">
        <f t="shared" si="9"/>
        <v>0.20154419546872943</v>
      </c>
      <c r="F69" s="363">
        <f t="shared" si="10"/>
        <v>0.0027497579163612406</v>
      </c>
      <c r="G69" s="357">
        <f t="shared" si="11"/>
        <v>0.03847779617131575</v>
      </c>
      <c r="H69" s="364">
        <f t="shared" si="12"/>
        <v>1.1131027930407877</v>
      </c>
      <c r="I69" s="355"/>
      <c r="J69" s="355"/>
    </row>
    <row r="70" spans="1:10" s="328" customFormat="1" ht="16.5">
      <c r="A70" s="357">
        <v>400</v>
      </c>
      <c r="B70" s="357">
        <v>143.534</v>
      </c>
      <c r="C70" s="358">
        <f t="shared" si="7"/>
        <v>1</v>
      </c>
      <c r="D70" s="357">
        <f t="shared" si="8"/>
        <v>0.1</v>
      </c>
      <c r="E70" s="357">
        <f t="shared" si="9"/>
        <v>0.2200391709637399</v>
      </c>
      <c r="F70" s="363">
        <f t="shared" si="10"/>
        <v>0.0014466157729914205</v>
      </c>
      <c r="G70" s="357">
        <f t="shared" si="11"/>
        <v>0.026983304905386005</v>
      </c>
      <c r="H70" s="357">
        <f t="shared" si="12"/>
        <v>0.8522164809757659</v>
      </c>
      <c r="I70" s="355"/>
      <c r="J70" s="355"/>
    </row>
    <row r="71" spans="1:10" s="328" customFormat="1" ht="16.5">
      <c r="A71" s="357">
        <v>450</v>
      </c>
      <c r="B71" s="357">
        <v>143.534</v>
      </c>
      <c r="C71" s="358">
        <f t="shared" si="7"/>
        <v>1</v>
      </c>
      <c r="D71" s="357">
        <f t="shared" si="8"/>
        <v>0.1125</v>
      </c>
      <c r="E71" s="357">
        <f t="shared" si="9"/>
        <v>0.23775671055448316</v>
      </c>
      <c r="F71" s="363">
        <f t="shared" si="10"/>
        <v>0.0008209364955512387</v>
      </c>
      <c r="G71" s="357">
        <f t="shared" si="11"/>
        <v>0.01973131516770694</v>
      </c>
      <c r="H71" s="357">
        <f t="shared" si="12"/>
        <v>0.6733542491364791</v>
      </c>
      <c r="I71" s="355"/>
      <c r="J71" s="355"/>
    </row>
    <row r="72" spans="1:10" s="328" customFormat="1" ht="16.5">
      <c r="A72" s="357">
        <v>500</v>
      </c>
      <c r="B72" s="357">
        <v>143.534</v>
      </c>
      <c r="C72" s="358">
        <f t="shared" si="7"/>
        <v>1</v>
      </c>
      <c r="D72" s="357">
        <f t="shared" si="8"/>
        <v>0.125</v>
      </c>
      <c r="E72" s="357">
        <f t="shared" si="9"/>
        <v>0.2548110946487692</v>
      </c>
      <c r="F72" s="363">
        <f t="shared" si="10"/>
        <v>0.0004945566358375214</v>
      </c>
      <c r="G72" s="357">
        <f t="shared" si="11"/>
        <v>0.014912633978787409</v>
      </c>
      <c r="H72" s="357">
        <f t="shared" si="12"/>
        <v>0.5454155051671843</v>
      </c>
      <c r="I72" s="355"/>
      <c r="J72" s="355"/>
    </row>
    <row r="73" spans="1:10" s="328" customFormat="1" ht="16.5">
      <c r="A73" s="357">
        <v>600</v>
      </c>
      <c r="B73" s="357">
        <v>143.534</v>
      </c>
      <c r="C73" s="358">
        <f t="shared" si="7"/>
        <v>1</v>
      </c>
      <c r="D73" s="357">
        <f t="shared" si="8"/>
        <v>0.15</v>
      </c>
      <c r="E73" s="357">
        <f t="shared" si="9"/>
        <v>0.2872632058153566</v>
      </c>
      <c r="F73" s="363">
        <f t="shared" si="10"/>
        <v>0.00020575682037375282</v>
      </c>
      <c r="G73" s="357">
        <f t="shared" si="11"/>
        <v>0.009186037576227027</v>
      </c>
      <c r="H73" s="357">
        <f t="shared" si="12"/>
        <v>0.3787590410748262</v>
      </c>
      <c r="I73" s="355"/>
      <c r="J73" s="355"/>
    </row>
    <row r="74" spans="1:10" s="328" customFormat="1" ht="16.5">
      <c r="A74" s="357">
        <v>700</v>
      </c>
      <c r="B74" s="357">
        <v>143.534</v>
      </c>
      <c r="C74" s="358">
        <f t="shared" si="7"/>
        <v>1</v>
      </c>
      <c r="D74" s="357">
        <f t="shared" si="8"/>
        <v>0.175</v>
      </c>
      <c r="E74" s="357">
        <f t="shared" si="9"/>
        <v>0.3179051160024755</v>
      </c>
      <c r="F74" s="363">
        <f t="shared" si="10"/>
        <v>9.802575182521445E-05</v>
      </c>
      <c r="G74" s="357">
        <f t="shared" si="11"/>
        <v>0.006098393592979801</v>
      </c>
      <c r="H74" s="357">
        <f t="shared" si="12"/>
        <v>0.27827087615158563</v>
      </c>
      <c r="I74" s="355"/>
      <c r="J74" s="355"/>
    </row>
    <row r="75" spans="1:10" s="328" customFormat="1" ht="16.5">
      <c r="A75" s="357">
        <v>800</v>
      </c>
      <c r="B75" s="357">
        <v>143.534</v>
      </c>
      <c r="C75" s="358">
        <f t="shared" si="7"/>
        <v>1</v>
      </c>
      <c r="D75" s="357">
        <f t="shared" si="8"/>
        <v>0.2</v>
      </c>
      <c r="E75" s="357">
        <f t="shared" si="9"/>
        <v>0.3470781086383091</v>
      </c>
      <c r="F75" s="363">
        <f t="shared" si="10"/>
        <v>5.15702120197364E-05</v>
      </c>
      <c r="G75" s="357">
        <f t="shared" si="11"/>
        <v>0.004276617429433189</v>
      </c>
      <c r="H75" s="357">
        <f t="shared" si="12"/>
        <v>0.21305042832936075</v>
      </c>
      <c r="I75" s="355"/>
      <c r="J75" s="355"/>
    </row>
    <row r="76" spans="1:10" s="328" customFormat="1" ht="16.5">
      <c r="A76" s="357">
        <v>900</v>
      </c>
      <c r="B76" s="357">
        <v>143.534</v>
      </c>
      <c r="C76" s="358">
        <f t="shared" si="7"/>
        <v>1</v>
      </c>
      <c r="D76" s="357">
        <f t="shared" si="8"/>
        <v>0.225</v>
      </c>
      <c r="E76" s="357">
        <f t="shared" si="9"/>
        <v>0.37502481514491054</v>
      </c>
      <c r="F76" s="363">
        <f t="shared" si="10"/>
        <v>2.926545522365728E-05</v>
      </c>
      <c r="G76" s="357">
        <f t="shared" si="11"/>
        <v>0.003127240589977235</v>
      </c>
      <c r="H76" s="357">
        <f t="shared" si="12"/>
        <v>0.16833564522439862</v>
      </c>
      <c r="I76" s="355"/>
      <c r="J76" s="355"/>
    </row>
    <row r="77" spans="1:10" s="328" customFormat="1" ht="16.5">
      <c r="A77" s="357">
        <v>1000</v>
      </c>
      <c r="B77" s="357">
        <v>143.534</v>
      </c>
      <c r="C77" s="358">
        <f t="shared" si="7"/>
        <v>1</v>
      </c>
      <c r="D77" s="357">
        <f t="shared" si="8"/>
        <v>0.25</v>
      </c>
      <c r="E77" s="357">
        <f t="shared" si="9"/>
        <v>0.40192549537157574</v>
      </c>
      <c r="F77" s="363">
        <f t="shared" si="10"/>
        <v>1.7630383300168683E-05</v>
      </c>
      <c r="G77" s="357">
        <f t="shared" si="11"/>
        <v>0.0023635218375236853</v>
      </c>
      <c r="H77" s="357">
        <f t="shared" si="12"/>
        <v>0.13635151347964555</v>
      </c>
      <c r="I77" s="355"/>
      <c r="J77" s="355"/>
    </row>
    <row r="78" spans="1:13" s="328" customFormat="1" ht="16.5">
      <c r="A78" s="325"/>
      <c r="B78" s="325"/>
      <c r="C78" s="325"/>
      <c r="D78" s="325"/>
      <c r="E78" s="325"/>
      <c r="F78" s="325"/>
      <c r="G78" s="325"/>
      <c r="H78" s="325"/>
      <c r="I78" s="325"/>
      <c r="J78" s="325"/>
      <c r="K78" s="325"/>
      <c r="L78" s="325"/>
      <c r="M78" s="325"/>
    </row>
    <row r="79" spans="1:13" s="328" customFormat="1" ht="16.5">
      <c r="A79" s="325"/>
      <c r="B79" s="325"/>
      <c r="C79" s="325"/>
      <c r="D79" s="325"/>
      <c r="E79" s="325"/>
      <c r="F79" s="325"/>
      <c r="G79" s="325"/>
      <c r="H79" s="325"/>
      <c r="I79" s="325"/>
      <c r="J79" s="325"/>
      <c r="K79" s="325"/>
      <c r="L79" s="325"/>
      <c r="M79" s="325"/>
    </row>
    <row r="80" spans="1:13" s="328" customFormat="1" ht="16.5">
      <c r="A80" s="325"/>
      <c r="B80" s="325"/>
      <c r="C80" s="325"/>
      <c r="D80" s="325"/>
      <c r="E80" s="325"/>
      <c r="F80" s="325"/>
      <c r="G80" s="325"/>
      <c r="H80" s="325"/>
      <c r="I80" s="325"/>
      <c r="J80" s="325"/>
      <c r="K80" s="325"/>
      <c r="L80" s="325"/>
      <c r="M80" s="325"/>
    </row>
    <row r="81" spans="1:13" s="328" customFormat="1" ht="16.5">
      <c r="A81" s="355" t="s">
        <v>165</v>
      </c>
      <c r="B81" s="355"/>
      <c r="C81" s="355"/>
      <c r="D81" s="355"/>
      <c r="E81" s="355"/>
      <c r="F81" s="355"/>
      <c r="G81" s="355"/>
      <c r="H81" s="355"/>
      <c r="I81" s="355"/>
      <c r="J81" s="355"/>
      <c r="K81" s="325"/>
      <c r="L81" s="325"/>
      <c r="M81" s="325"/>
    </row>
    <row r="82" spans="1:13" s="328" customFormat="1" ht="27">
      <c r="A82" s="356" t="s">
        <v>154</v>
      </c>
      <c r="B82" s="357" t="s">
        <v>155</v>
      </c>
      <c r="C82" s="357" t="s">
        <v>156</v>
      </c>
      <c r="D82" s="357" t="s">
        <v>157</v>
      </c>
      <c r="E82" s="357" t="s">
        <v>158</v>
      </c>
      <c r="F82" s="356" t="s">
        <v>272</v>
      </c>
      <c r="G82" s="357">
        <v>994.62</v>
      </c>
      <c r="H82" s="357" t="s">
        <v>159</v>
      </c>
      <c r="I82" s="357" t="s">
        <v>273</v>
      </c>
      <c r="J82" s="356" t="s">
        <v>166</v>
      </c>
      <c r="K82" s="325"/>
      <c r="L82" s="325"/>
      <c r="M82" s="325"/>
    </row>
    <row r="83" spans="1:13" s="328" customFormat="1" ht="16.5">
      <c r="A83" s="357">
        <v>100</v>
      </c>
      <c r="B83" s="358">
        <f>G13</f>
        <v>50</v>
      </c>
      <c r="C83" s="357">
        <f>$I$31/1000</f>
        <v>0.22</v>
      </c>
      <c r="D83" s="358">
        <f>L10</f>
        <v>1</v>
      </c>
      <c r="E83" s="357">
        <f>C83/D83</f>
        <v>0.22</v>
      </c>
      <c r="F83" s="357">
        <f>E83^1.81</f>
        <v>0.064533475096952</v>
      </c>
      <c r="G83" s="357">
        <v>994.62</v>
      </c>
      <c r="H83" s="357">
        <f>A83/1000</f>
        <v>0.1</v>
      </c>
      <c r="I83" s="359">
        <f>H83^4.81</f>
        <v>1.5488166189124838E-05</v>
      </c>
      <c r="J83" s="356">
        <f>(B83*F83)/(G83*I83)</f>
        <v>209.45844197105237</v>
      </c>
      <c r="K83" s="325"/>
      <c r="L83" s="325"/>
      <c r="M83" s="325"/>
    </row>
    <row r="84" spans="1:13" s="328" customFormat="1" ht="16.5">
      <c r="A84" s="357">
        <v>150</v>
      </c>
      <c r="B84" s="358">
        <f>B83</f>
        <v>50</v>
      </c>
      <c r="C84" s="357">
        <f aca="true" t="shared" si="13" ref="C84:C96">$I$31/1000</f>
        <v>0.22</v>
      </c>
      <c r="D84" s="358">
        <f aca="true" t="shared" si="14" ref="D84:D96">L11</f>
        <v>1</v>
      </c>
      <c r="E84" s="357">
        <f>C84/D84</f>
        <v>0.22</v>
      </c>
      <c r="F84" s="357">
        <f aca="true" t="shared" si="15" ref="F84:F96">E84^1.81</f>
        <v>0.064533475096952</v>
      </c>
      <c r="G84" s="357">
        <v>994.62</v>
      </c>
      <c r="H84" s="357">
        <f>A84/1000</f>
        <v>0.15</v>
      </c>
      <c r="I84" s="359">
        <f>H84^4.81</f>
        <v>0.00010889274758037868</v>
      </c>
      <c r="J84" s="356">
        <f>(B84*F84)/(G84*I84)</f>
        <v>29.79194878491042</v>
      </c>
      <c r="K84" s="325"/>
      <c r="L84" s="325"/>
      <c r="M84" s="325"/>
    </row>
    <row r="85" spans="1:13" s="328" customFormat="1" ht="16.5">
      <c r="A85" s="357">
        <v>200</v>
      </c>
      <c r="B85" s="358">
        <f>B83</f>
        <v>50</v>
      </c>
      <c r="C85" s="357">
        <f t="shared" si="13"/>
        <v>0.22</v>
      </c>
      <c r="D85" s="358">
        <f t="shared" si="14"/>
        <v>1</v>
      </c>
      <c r="E85" s="357">
        <f>C85/D85</f>
        <v>0.22</v>
      </c>
      <c r="F85" s="357">
        <f t="shared" si="15"/>
        <v>0.064533475096952</v>
      </c>
      <c r="G85" s="357">
        <v>994.62</v>
      </c>
      <c r="H85" s="357">
        <f>A85/1000</f>
        <v>0.2</v>
      </c>
      <c r="I85" s="359">
        <f>H85^4.81</f>
        <v>0.00043446448301057286</v>
      </c>
      <c r="J85" s="356">
        <f>(B85*F85)/(G85*I85)</f>
        <v>7.466955955715885</v>
      </c>
      <c r="K85" s="325"/>
      <c r="L85" s="325"/>
      <c r="M85" s="325"/>
    </row>
    <row r="86" spans="1:13" s="328" customFormat="1" ht="16.5">
      <c r="A86" s="357">
        <v>250</v>
      </c>
      <c r="B86" s="358">
        <f>B83</f>
        <v>50</v>
      </c>
      <c r="C86" s="357">
        <f t="shared" si="13"/>
        <v>0.22</v>
      </c>
      <c r="D86" s="358">
        <f t="shared" si="14"/>
        <v>1</v>
      </c>
      <c r="E86" s="357">
        <f aca="true" t="shared" si="16" ref="E86:E96">C86/D86</f>
        <v>0.22</v>
      </c>
      <c r="F86" s="357">
        <f t="shared" si="15"/>
        <v>0.064533475096952</v>
      </c>
      <c r="G86" s="357">
        <v>994.62</v>
      </c>
      <c r="H86" s="357">
        <v>0.25</v>
      </c>
      <c r="I86" s="357">
        <f aca="true" t="shared" si="17" ref="I86:I96">POWER(H86,4.81)</f>
        <v>0.0012708416557050137</v>
      </c>
      <c r="J86" s="357">
        <f aca="true" t="shared" si="18" ref="J86:J96">(B86*F86)/(G86*I86)</f>
        <v>2.552739079962801</v>
      </c>
      <c r="K86" s="325"/>
      <c r="L86" s="325"/>
      <c r="M86" s="325"/>
    </row>
    <row r="87" spans="1:13" s="328" customFormat="1" ht="16.5">
      <c r="A87" s="357">
        <v>300</v>
      </c>
      <c r="B87" s="358">
        <f>B83</f>
        <v>50</v>
      </c>
      <c r="C87" s="357">
        <f t="shared" si="13"/>
        <v>0.22</v>
      </c>
      <c r="D87" s="358">
        <f t="shared" si="14"/>
        <v>1</v>
      </c>
      <c r="E87" s="357">
        <f t="shared" si="16"/>
        <v>0.22</v>
      </c>
      <c r="F87" s="357">
        <f t="shared" si="15"/>
        <v>0.064533475096952</v>
      </c>
      <c r="G87" s="357">
        <v>994.62</v>
      </c>
      <c r="H87" s="357">
        <v>0.3</v>
      </c>
      <c r="I87" s="357">
        <f t="shared" si="17"/>
        <v>0.0030545921772410483</v>
      </c>
      <c r="J87" s="363">
        <f t="shared" si="18"/>
        <v>1.062049193713631</v>
      </c>
      <c r="K87" s="325"/>
      <c r="L87" s="325"/>
      <c r="M87" s="325"/>
    </row>
    <row r="88" spans="1:13" s="328" customFormat="1" ht="16.5">
      <c r="A88" s="357">
        <v>350</v>
      </c>
      <c r="B88" s="358">
        <f>B83</f>
        <v>50</v>
      </c>
      <c r="C88" s="357">
        <f t="shared" si="13"/>
        <v>0.22</v>
      </c>
      <c r="D88" s="358">
        <f t="shared" si="14"/>
        <v>1</v>
      </c>
      <c r="E88" s="357">
        <f t="shared" si="16"/>
        <v>0.22</v>
      </c>
      <c r="F88" s="357">
        <f t="shared" si="15"/>
        <v>0.064533475096952</v>
      </c>
      <c r="G88" s="357">
        <v>994.62</v>
      </c>
      <c r="H88" s="357">
        <v>0.35</v>
      </c>
      <c r="I88" s="357">
        <f t="shared" si="17"/>
        <v>0.006411612889726306</v>
      </c>
      <c r="J88" s="357">
        <f t="shared" si="18"/>
        <v>0.5059767666511916</v>
      </c>
      <c r="K88" s="325"/>
      <c r="L88" s="325"/>
      <c r="M88" s="325"/>
    </row>
    <row r="89" spans="1:13" s="328" customFormat="1" ht="16.5">
      <c r="A89" s="357">
        <v>400</v>
      </c>
      <c r="B89" s="358">
        <f>B83</f>
        <v>50</v>
      </c>
      <c r="C89" s="357">
        <f t="shared" si="13"/>
        <v>0.22</v>
      </c>
      <c r="D89" s="358">
        <f t="shared" si="14"/>
        <v>1</v>
      </c>
      <c r="E89" s="357">
        <f t="shared" si="16"/>
        <v>0.22</v>
      </c>
      <c r="F89" s="357">
        <f t="shared" si="15"/>
        <v>0.064533475096952</v>
      </c>
      <c r="G89" s="357">
        <v>994.62</v>
      </c>
      <c r="H89" s="357">
        <v>0.4</v>
      </c>
      <c r="I89" s="359">
        <f t="shared" si="17"/>
        <v>0.012187329648501794</v>
      </c>
      <c r="J89" s="363">
        <f t="shared" si="18"/>
        <v>0.26618851319588493</v>
      </c>
      <c r="K89" s="325"/>
      <c r="L89" s="325"/>
      <c r="M89" s="325"/>
    </row>
    <row r="90" spans="1:13" s="328" customFormat="1" ht="16.5">
      <c r="A90" s="357">
        <v>450</v>
      </c>
      <c r="B90" s="358">
        <f>B83</f>
        <v>50</v>
      </c>
      <c r="C90" s="357">
        <f t="shared" si="13"/>
        <v>0.22</v>
      </c>
      <c r="D90" s="358">
        <f t="shared" si="14"/>
        <v>1</v>
      </c>
      <c r="E90" s="357">
        <f t="shared" si="16"/>
        <v>0.22</v>
      </c>
      <c r="F90" s="357">
        <f t="shared" si="15"/>
        <v>0.064533475096952</v>
      </c>
      <c r="G90" s="357">
        <v>994.62</v>
      </c>
      <c r="H90" s="357">
        <v>0.45</v>
      </c>
      <c r="I90" s="359">
        <f t="shared" si="17"/>
        <v>0.02147594046032795</v>
      </c>
      <c r="J90" s="357">
        <f t="shared" si="18"/>
        <v>0.15105867726517624</v>
      </c>
      <c r="K90" s="325"/>
      <c r="L90" s="325"/>
      <c r="M90" s="325"/>
    </row>
    <row r="91" spans="1:13" s="328" customFormat="1" ht="16.5">
      <c r="A91" s="357">
        <v>500</v>
      </c>
      <c r="B91" s="358">
        <f>B83</f>
        <v>50</v>
      </c>
      <c r="C91" s="357">
        <f t="shared" si="13"/>
        <v>0.22</v>
      </c>
      <c r="D91" s="358">
        <f t="shared" si="14"/>
        <v>1</v>
      </c>
      <c r="E91" s="357">
        <f t="shared" si="16"/>
        <v>0.22</v>
      </c>
      <c r="F91" s="357">
        <f t="shared" si="15"/>
        <v>0.064533475096952</v>
      </c>
      <c r="G91" s="357">
        <v>994.62</v>
      </c>
      <c r="H91" s="357">
        <v>0.5</v>
      </c>
      <c r="I91" s="357">
        <f t="shared" si="17"/>
        <v>0.035648866120888245</v>
      </c>
      <c r="J91" s="357">
        <f t="shared" si="18"/>
        <v>0.09100225370315335</v>
      </c>
      <c r="K91" s="325"/>
      <c r="L91" s="325"/>
      <c r="M91" s="325"/>
    </row>
    <row r="92" spans="1:13" s="328" customFormat="1" ht="16.5">
      <c r="A92" s="357">
        <v>600</v>
      </c>
      <c r="B92" s="358">
        <f>B83</f>
        <v>50</v>
      </c>
      <c r="C92" s="357">
        <f t="shared" si="13"/>
        <v>0.22</v>
      </c>
      <c r="D92" s="358">
        <f t="shared" si="14"/>
        <v>1</v>
      </c>
      <c r="E92" s="357">
        <f t="shared" si="16"/>
        <v>0.22</v>
      </c>
      <c r="F92" s="357">
        <f t="shared" si="15"/>
        <v>0.064533475096952</v>
      </c>
      <c r="G92" s="357">
        <v>994.62</v>
      </c>
      <c r="H92" s="357">
        <v>0.6</v>
      </c>
      <c r="I92" s="357">
        <f t="shared" si="17"/>
        <v>0.08568553532341466</v>
      </c>
      <c r="J92" s="357">
        <f t="shared" si="18"/>
        <v>0.03786084952049452</v>
      </c>
      <c r="K92" s="325"/>
      <c r="L92" s="325"/>
      <c r="M92" s="325"/>
    </row>
    <row r="93" spans="1:13" s="328" customFormat="1" ht="16.5">
      <c r="A93" s="357">
        <v>700</v>
      </c>
      <c r="B93" s="358">
        <f>B83</f>
        <v>50</v>
      </c>
      <c r="C93" s="357">
        <f t="shared" si="13"/>
        <v>0.22</v>
      </c>
      <c r="D93" s="358">
        <f t="shared" si="14"/>
        <v>1</v>
      </c>
      <c r="E93" s="357">
        <f t="shared" si="16"/>
        <v>0.22</v>
      </c>
      <c r="F93" s="357">
        <f t="shared" si="15"/>
        <v>0.064533475096952</v>
      </c>
      <c r="G93" s="357">
        <v>994.62</v>
      </c>
      <c r="H93" s="357">
        <v>0.7</v>
      </c>
      <c r="I93" s="357">
        <f t="shared" si="17"/>
        <v>0.17985460934392697</v>
      </c>
      <c r="J93" s="357">
        <f t="shared" si="18"/>
        <v>0.018037498014628235</v>
      </c>
      <c r="K93" s="325"/>
      <c r="L93" s="325"/>
      <c r="M93" s="325"/>
    </row>
    <row r="94" spans="1:13" s="328" customFormat="1" ht="16.5">
      <c r="A94" s="357">
        <v>800</v>
      </c>
      <c r="B94" s="358">
        <f>B83</f>
        <v>50</v>
      </c>
      <c r="C94" s="357">
        <f t="shared" si="13"/>
        <v>0.22</v>
      </c>
      <c r="D94" s="358">
        <f t="shared" si="14"/>
        <v>1</v>
      </c>
      <c r="E94" s="357">
        <f t="shared" si="16"/>
        <v>0.22</v>
      </c>
      <c r="F94" s="357">
        <f t="shared" si="15"/>
        <v>0.064533475096952</v>
      </c>
      <c r="G94" s="357">
        <v>994.62</v>
      </c>
      <c r="H94" s="357">
        <v>0.8</v>
      </c>
      <c r="I94" s="357">
        <f t="shared" si="17"/>
        <v>0.3418714527181189</v>
      </c>
      <c r="J94" s="357">
        <f t="shared" si="18"/>
        <v>0.009489318669838393</v>
      </c>
      <c r="K94" s="325"/>
      <c r="L94" s="325"/>
      <c r="M94" s="325"/>
    </row>
    <row r="95" spans="1:13" s="328" customFormat="1" ht="16.5">
      <c r="A95" s="357">
        <v>900</v>
      </c>
      <c r="B95" s="358">
        <f>B83</f>
        <v>50</v>
      </c>
      <c r="C95" s="357">
        <f t="shared" si="13"/>
        <v>0.22</v>
      </c>
      <c r="D95" s="358">
        <f t="shared" si="14"/>
        <v>1</v>
      </c>
      <c r="E95" s="357">
        <f t="shared" si="16"/>
        <v>0.22</v>
      </c>
      <c r="F95" s="357">
        <f t="shared" si="15"/>
        <v>0.064533475096952</v>
      </c>
      <c r="G95" s="357">
        <v>994.62</v>
      </c>
      <c r="H95" s="357">
        <v>0.9</v>
      </c>
      <c r="I95" s="357">
        <f t="shared" si="17"/>
        <v>0.6024298329013119</v>
      </c>
      <c r="J95" s="363">
        <f t="shared" si="18"/>
        <v>0.005385070562224733</v>
      </c>
      <c r="K95" s="325"/>
      <c r="L95" s="325"/>
      <c r="M95" s="325"/>
    </row>
    <row r="96" spans="1:13" s="328" customFormat="1" ht="16.5">
      <c r="A96" s="357">
        <v>1000</v>
      </c>
      <c r="B96" s="358">
        <f>B83</f>
        <v>50</v>
      </c>
      <c r="C96" s="357">
        <f t="shared" si="13"/>
        <v>0.22</v>
      </c>
      <c r="D96" s="358">
        <f t="shared" si="14"/>
        <v>1</v>
      </c>
      <c r="E96" s="357">
        <f t="shared" si="16"/>
        <v>0.22</v>
      </c>
      <c r="F96" s="357">
        <f t="shared" si="15"/>
        <v>0.064533475096952</v>
      </c>
      <c r="G96" s="357">
        <v>994.62</v>
      </c>
      <c r="H96" s="357">
        <v>1</v>
      </c>
      <c r="I96" s="357">
        <f t="shared" si="17"/>
        <v>1</v>
      </c>
      <c r="J96" s="363">
        <f t="shared" si="18"/>
        <v>0.0032441271589628198</v>
      </c>
      <c r="K96" s="325"/>
      <c r="L96" s="325"/>
      <c r="M96" s="325"/>
    </row>
    <row r="97" spans="1:13" s="328" customFormat="1" ht="16.5">
      <c r="A97" s="355"/>
      <c r="B97" s="355"/>
      <c r="C97" s="355"/>
      <c r="D97" s="355"/>
      <c r="E97" s="355"/>
      <c r="F97" s="355"/>
      <c r="G97" s="355"/>
      <c r="H97" s="355"/>
      <c r="I97" s="355"/>
      <c r="J97" s="355"/>
      <c r="K97" s="325"/>
      <c r="L97" s="325"/>
      <c r="M97" s="325"/>
    </row>
    <row r="98" spans="1:13" s="328" customFormat="1" ht="16.5">
      <c r="A98" s="355" t="s">
        <v>161</v>
      </c>
      <c r="B98" s="355"/>
      <c r="C98" s="355"/>
      <c r="D98" s="355"/>
      <c r="E98" s="355"/>
      <c r="F98" s="355"/>
      <c r="G98" s="355"/>
      <c r="H98" s="355"/>
      <c r="I98" s="355"/>
      <c r="J98" s="355"/>
      <c r="K98" s="325"/>
      <c r="L98" s="325"/>
      <c r="M98" s="325"/>
    </row>
    <row r="99" spans="1:13" s="328" customFormat="1" ht="16.5">
      <c r="A99" s="356" t="s">
        <v>154</v>
      </c>
      <c r="B99" s="357">
        <v>143.534</v>
      </c>
      <c r="C99" s="357" t="s">
        <v>157</v>
      </c>
      <c r="D99" s="356" t="s">
        <v>275</v>
      </c>
      <c r="E99" s="356" t="s">
        <v>277</v>
      </c>
      <c r="F99" s="357" t="s">
        <v>163</v>
      </c>
      <c r="G99" s="356" t="s">
        <v>274</v>
      </c>
      <c r="H99" s="357" t="s">
        <v>164</v>
      </c>
      <c r="I99" s="355"/>
      <c r="J99" s="355"/>
      <c r="K99" s="325"/>
      <c r="L99" s="325"/>
      <c r="M99" s="325"/>
    </row>
    <row r="100" spans="1:13" s="328" customFormat="1" ht="16.5">
      <c r="A100" s="357">
        <v>100</v>
      </c>
      <c r="B100" s="357">
        <v>143.534</v>
      </c>
      <c r="C100" s="358">
        <f>L10</f>
        <v>1</v>
      </c>
      <c r="D100" s="357">
        <f>A100/(4*1000)</f>
        <v>0.025</v>
      </c>
      <c r="E100" s="357">
        <f>D100^0.6575</f>
        <v>0.08843935279075198</v>
      </c>
      <c r="F100" s="363">
        <f>J83/B83</f>
        <v>4.189168839421047</v>
      </c>
      <c r="G100" s="359">
        <f>F100^0.5525</f>
        <v>2.2066103206002046</v>
      </c>
      <c r="H100" s="357">
        <f>B100*C100*E100*G100</f>
        <v>28.010830706704997</v>
      </c>
      <c r="I100" s="355"/>
      <c r="J100" s="355"/>
      <c r="K100" s="325"/>
      <c r="L100" s="325"/>
      <c r="M100" s="325"/>
    </row>
    <row r="101" spans="1:13" s="328" customFormat="1" ht="16.5">
      <c r="A101" s="357">
        <v>150</v>
      </c>
      <c r="B101" s="357">
        <v>143.534</v>
      </c>
      <c r="C101" s="358">
        <f aca="true" t="shared" si="19" ref="C101:C113">L11</f>
        <v>1</v>
      </c>
      <c r="D101" s="357">
        <f aca="true" t="shared" si="20" ref="D101:D113">A101/(4*1000)</f>
        <v>0.0375</v>
      </c>
      <c r="E101" s="357">
        <f aca="true" t="shared" si="21" ref="E101:E113">D101^0.6575</f>
        <v>0.11545840629936406</v>
      </c>
      <c r="F101" s="363">
        <f aca="true" t="shared" si="22" ref="F101:F113">J84/B84</f>
        <v>0.5958389756982084</v>
      </c>
      <c r="G101" s="359">
        <f>F101^0.5525</f>
        <v>0.7512054358129374</v>
      </c>
      <c r="H101" s="357">
        <f>B101*C101*E101*G101</f>
        <v>12.449131899014032</v>
      </c>
      <c r="I101" s="355"/>
      <c r="J101" s="355"/>
      <c r="K101" s="325"/>
      <c r="L101" s="325"/>
      <c r="M101" s="325"/>
    </row>
    <row r="102" spans="1:13" s="328" customFormat="1" ht="16.5">
      <c r="A102" s="357">
        <v>200</v>
      </c>
      <c r="B102" s="357">
        <v>143.534</v>
      </c>
      <c r="C102" s="358">
        <f t="shared" si="19"/>
        <v>1</v>
      </c>
      <c r="D102" s="357">
        <f t="shared" si="20"/>
        <v>0.05</v>
      </c>
      <c r="E102" s="357">
        <f t="shared" si="21"/>
        <v>0.13949954074708198</v>
      </c>
      <c r="F102" s="363">
        <f t="shared" si="22"/>
        <v>0.1493391191143177</v>
      </c>
      <c r="G102" s="359">
        <f>F102^0.5525</f>
        <v>0.3497284039199494</v>
      </c>
      <c r="H102" s="357">
        <f>B102*C102*E102*G102</f>
        <v>7.002586330050583</v>
      </c>
      <c r="I102" s="355"/>
      <c r="J102" s="355"/>
      <c r="K102" s="325"/>
      <c r="L102" s="325"/>
      <c r="M102" s="325"/>
    </row>
    <row r="103" spans="1:13" s="328" customFormat="1" ht="16.5">
      <c r="A103" s="357">
        <v>250</v>
      </c>
      <c r="B103" s="357">
        <v>143.534</v>
      </c>
      <c r="C103" s="358">
        <f t="shared" si="19"/>
        <v>1</v>
      </c>
      <c r="D103" s="357">
        <f t="shared" si="20"/>
        <v>0.0625</v>
      </c>
      <c r="E103" s="357">
        <f t="shared" si="21"/>
        <v>0.16154410382968654</v>
      </c>
      <c r="F103" s="363">
        <f t="shared" si="22"/>
        <v>0.05105478159925602</v>
      </c>
      <c r="G103" s="357">
        <f aca="true" t="shared" si="23" ref="G103:G113">POWER(F103,0.5525)</f>
        <v>0.19328142708726212</v>
      </c>
      <c r="H103" s="357">
        <f aca="true" t="shared" si="24" ref="H103:H113">B103*C103*E103*G103</f>
        <v>4.481630249990398</v>
      </c>
      <c r="I103" s="355"/>
      <c r="J103" s="355"/>
      <c r="K103" s="325"/>
      <c r="L103" s="325"/>
      <c r="M103" s="325"/>
    </row>
    <row r="104" spans="1:13" s="328" customFormat="1" ht="16.5">
      <c r="A104" s="357">
        <v>300</v>
      </c>
      <c r="B104" s="357">
        <v>143.534</v>
      </c>
      <c r="C104" s="358">
        <f t="shared" si="19"/>
        <v>1</v>
      </c>
      <c r="D104" s="357">
        <f t="shared" si="20"/>
        <v>0.075</v>
      </c>
      <c r="E104" s="357">
        <f t="shared" si="21"/>
        <v>0.18211796158503227</v>
      </c>
      <c r="F104" s="363">
        <f t="shared" si="22"/>
        <v>0.021240983874272618</v>
      </c>
      <c r="G104" s="357">
        <f t="shared" si="23"/>
        <v>0.11905948033968616</v>
      </c>
      <c r="H104" s="357">
        <f t="shared" si="24"/>
        <v>3.112229043466563</v>
      </c>
      <c r="I104" s="355"/>
      <c r="J104" s="355"/>
      <c r="K104" s="325"/>
      <c r="L104" s="325"/>
      <c r="M104" s="325"/>
    </row>
    <row r="105" spans="1:13" s="328" customFormat="1" ht="16.5">
      <c r="A105" s="357">
        <v>350</v>
      </c>
      <c r="B105" s="357">
        <v>143.534</v>
      </c>
      <c r="C105" s="358">
        <f t="shared" si="19"/>
        <v>1</v>
      </c>
      <c r="D105" s="357">
        <f t="shared" si="20"/>
        <v>0.0875</v>
      </c>
      <c r="E105" s="357">
        <f t="shared" si="21"/>
        <v>0.20154419546872943</v>
      </c>
      <c r="F105" s="363">
        <f t="shared" si="22"/>
        <v>0.010119535333023833</v>
      </c>
      <c r="G105" s="357">
        <f t="shared" si="23"/>
        <v>0.07904077966827402</v>
      </c>
      <c r="H105" s="357">
        <f t="shared" si="24"/>
        <v>2.2865268120128106</v>
      </c>
      <c r="I105" s="355"/>
      <c r="J105" s="355"/>
      <c r="K105" s="325"/>
      <c r="L105" s="325"/>
      <c r="M105" s="325"/>
    </row>
    <row r="106" spans="1:13" s="328" customFormat="1" ht="16.5">
      <c r="A106" s="357">
        <v>400</v>
      </c>
      <c r="B106" s="357">
        <v>143.534</v>
      </c>
      <c r="C106" s="358">
        <f t="shared" si="19"/>
        <v>1</v>
      </c>
      <c r="D106" s="357">
        <f t="shared" si="20"/>
        <v>0.1</v>
      </c>
      <c r="E106" s="357">
        <f t="shared" si="21"/>
        <v>0.2200391709637399</v>
      </c>
      <c r="F106" s="363">
        <f t="shared" si="22"/>
        <v>0.005323770263917699</v>
      </c>
      <c r="G106" s="357">
        <f t="shared" si="23"/>
        <v>0.055428888085290326</v>
      </c>
      <c r="H106" s="357">
        <f t="shared" si="24"/>
        <v>1.7506162463819193</v>
      </c>
      <c r="I106" s="355"/>
      <c r="J106" s="355"/>
      <c r="K106" s="325"/>
      <c r="L106" s="325"/>
      <c r="M106" s="325"/>
    </row>
    <row r="107" spans="1:13" s="328" customFormat="1" ht="16.5">
      <c r="A107" s="357">
        <v>450</v>
      </c>
      <c r="B107" s="357">
        <v>143.534</v>
      </c>
      <c r="C107" s="358">
        <f t="shared" si="19"/>
        <v>1</v>
      </c>
      <c r="D107" s="357">
        <f t="shared" si="20"/>
        <v>0.1125</v>
      </c>
      <c r="E107" s="357">
        <f t="shared" si="21"/>
        <v>0.23775671055448316</v>
      </c>
      <c r="F107" s="363">
        <f t="shared" si="22"/>
        <v>0.003021173545303525</v>
      </c>
      <c r="G107" s="357">
        <f t="shared" si="23"/>
        <v>0.0405319090467719</v>
      </c>
      <c r="H107" s="357">
        <f t="shared" si="24"/>
        <v>1.3831988871641399</v>
      </c>
      <c r="I107" s="355"/>
      <c r="J107" s="355"/>
      <c r="K107" s="325"/>
      <c r="L107" s="325"/>
      <c r="M107" s="325"/>
    </row>
    <row r="108" spans="1:13" s="328" customFormat="1" ht="16.5">
      <c r="A108" s="357">
        <v>500</v>
      </c>
      <c r="B108" s="357">
        <v>143.534</v>
      </c>
      <c r="C108" s="358">
        <f t="shared" si="19"/>
        <v>1</v>
      </c>
      <c r="D108" s="357">
        <f t="shared" si="20"/>
        <v>0.125</v>
      </c>
      <c r="E108" s="357">
        <f t="shared" si="21"/>
        <v>0.2548110946487692</v>
      </c>
      <c r="F108" s="363">
        <f t="shared" si="22"/>
        <v>0.0018200450740630668</v>
      </c>
      <c r="G108" s="357">
        <f t="shared" si="23"/>
        <v>0.030633412873829022</v>
      </c>
      <c r="H108" s="357">
        <f t="shared" si="24"/>
        <v>1.1203881474822435</v>
      </c>
      <c r="I108" s="355"/>
      <c r="J108" s="355"/>
      <c r="K108" s="325"/>
      <c r="L108" s="325"/>
      <c r="M108" s="325"/>
    </row>
    <row r="109" spans="1:13" s="328" customFormat="1" ht="16.5">
      <c r="A109" s="357">
        <v>600</v>
      </c>
      <c r="B109" s="357">
        <v>143.534</v>
      </c>
      <c r="C109" s="358">
        <f t="shared" si="19"/>
        <v>1</v>
      </c>
      <c r="D109" s="357">
        <f t="shared" si="20"/>
        <v>0.15</v>
      </c>
      <c r="E109" s="357">
        <f t="shared" si="21"/>
        <v>0.2872632058153566</v>
      </c>
      <c r="F109" s="363">
        <f t="shared" si="22"/>
        <v>0.0007572169904098904</v>
      </c>
      <c r="G109" s="357">
        <f t="shared" si="23"/>
        <v>0.018869884565486505</v>
      </c>
      <c r="H109" s="357">
        <f t="shared" si="24"/>
        <v>0.7780437782785415</v>
      </c>
      <c r="I109" s="355"/>
      <c r="J109" s="355"/>
      <c r="K109" s="325"/>
      <c r="L109" s="325"/>
      <c r="M109" s="325"/>
    </row>
    <row r="110" spans="1:13" s="328" customFormat="1" ht="16.5">
      <c r="A110" s="357">
        <v>700</v>
      </c>
      <c r="B110" s="357">
        <v>143.534</v>
      </c>
      <c r="C110" s="358">
        <f t="shared" si="19"/>
        <v>1</v>
      </c>
      <c r="D110" s="357">
        <f t="shared" si="20"/>
        <v>0.175</v>
      </c>
      <c r="E110" s="357">
        <f t="shared" si="21"/>
        <v>0.3179051160024755</v>
      </c>
      <c r="F110" s="363">
        <f t="shared" si="22"/>
        <v>0.0003607499602925647</v>
      </c>
      <c r="G110" s="357">
        <f t="shared" si="23"/>
        <v>0.012527271108953634</v>
      </c>
      <c r="H110" s="357">
        <f t="shared" si="24"/>
        <v>0.5716217974664463</v>
      </c>
      <c r="I110" s="355"/>
      <c r="J110" s="355"/>
      <c r="K110" s="325"/>
      <c r="L110" s="325"/>
      <c r="M110" s="325"/>
    </row>
    <row r="111" spans="1:13" s="328" customFormat="1" ht="16.5">
      <c r="A111" s="357">
        <v>800</v>
      </c>
      <c r="B111" s="357">
        <v>143.534</v>
      </c>
      <c r="C111" s="358">
        <f t="shared" si="19"/>
        <v>1</v>
      </c>
      <c r="D111" s="357">
        <f t="shared" si="20"/>
        <v>0.2</v>
      </c>
      <c r="E111" s="357">
        <f t="shared" si="21"/>
        <v>0.3470781086383091</v>
      </c>
      <c r="F111" s="363">
        <f t="shared" si="22"/>
        <v>0.00018978637339676785</v>
      </c>
      <c r="G111" s="359">
        <f t="shared" si="23"/>
        <v>0.008784993154501923</v>
      </c>
      <c r="H111" s="357">
        <f t="shared" si="24"/>
        <v>0.4376464776942182</v>
      </c>
      <c r="I111" s="355"/>
      <c r="J111" s="355"/>
      <c r="K111" s="325"/>
      <c r="L111" s="325"/>
      <c r="M111" s="325"/>
    </row>
    <row r="112" spans="1:13" s="328" customFormat="1" ht="16.5">
      <c r="A112" s="357">
        <v>900</v>
      </c>
      <c r="B112" s="357">
        <v>143.534</v>
      </c>
      <c r="C112" s="358">
        <f t="shared" si="19"/>
        <v>1</v>
      </c>
      <c r="D112" s="357">
        <f t="shared" si="20"/>
        <v>0.225</v>
      </c>
      <c r="E112" s="357">
        <f t="shared" si="21"/>
        <v>0.37502481514491054</v>
      </c>
      <c r="F112" s="363">
        <f t="shared" si="22"/>
        <v>0.00010770141124449467</v>
      </c>
      <c r="G112" s="357">
        <f t="shared" si="23"/>
        <v>0.006423952487859484</v>
      </c>
      <c r="H112" s="357">
        <f t="shared" si="24"/>
        <v>0.3457937295903987</v>
      </c>
      <c r="I112" s="355"/>
      <c r="J112" s="355"/>
      <c r="K112" s="325"/>
      <c r="L112" s="325"/>
      <c r="M112" s="325"/>
    </row>
    <row r="113" spans="1:13" s="328" customFormat="1" ht="16.5">
      <c r="A113" s="357">
        <v>1000</v>
      </c>
      <c r="B113" s="357">
        <v>143.534</v>
      </c>
      <c r="C113" s="358">
        <f t="shared" si="19"/>
        <v>1</v>
      </c>
      <c r="D113" s="357">
        <f t="shared" si="20"/>
        <v>0.25</v>
      </c>
      <c r="E113" s="357">
        <f t="shared" si="21"/>
        <v>0.40192549537157574</v>
      </c>
      <c r="F113" s="363">
        <f t="shared" si="22"/>
        <v>6.48825431792564E-05</v>
      </c>
      <c r="G113" s="359">
        <f t="shared" si="23"/>
        <v>0.004855127564195832</v>
      </c>
      <c r="H113" s="357">
        <f t="shared" si="24"/>
        <v>0.2800921832008301</v>
      </c>
      <c r="I113" s="355"/>
      <c r="J113" s="355"/>
      <c r="K113" s="325"/>
      <c r="L113" s="325"/>
      <c r="M113" s="325"/>
    </row>
    <row r="114" spans="1:13" s="328" customFormat="1" ht="16.5">
      <c r="A114" s="335" t="s">
        <v>96</v>
      </c>
      <c r="B114" s="335" t="s">
        <v>96</v>
      </c>
      <c r="C114" s="335" t="s">
        <v>96</v>
      </c>
      <c r="D114" s="335" t="s">
        <v>96</v>
      </c>
      <c r="E114" s="335" t="s">
        <v>96</v>
      </c>
      <c r="F114" s="335" t="s">
        <v>96</v>
      </c>
      <c r="G114" s="335" t="s">
        <v>96</v>
      </c>
      <c r="H114" s="335" t="s">
        <v>96</v>
      </c>
      <c r="I114" s="335" t="s">
        <v>96</v>
      </c>
      <c r="J114" s="335" t="s">
        <v>96</v>
      </c>
      <c r="K114" s="335" t="s">
        <v>96</v>
      </c>
      <c r="L114" s="335" t="s">
        <v>96</v>
      </c>
      <c r="M114" s="325"/>
    </row>
    <row r="115" spans="1:13" s="328" customFormat="1" ht="16.5">
      <c r="A115" s="334" t="s">
        <v>167</v>
      </c>
      <c r="B115" s="325"/>
      <c r="C115" s="325"/>
      <c r="D115" s="325"/>
      <c r="E115" s="325"/>
      <c r="F115" s="325"/>
      <c r="G115" s="325"/>
      <c r="H115" s="325"/>
      <c r="I115" s="325"/>
      <c r="J115" s="325"/>
      <c r="K115" s="325"/>
      <c r="L115" s="325"/>
      <c r="M115" s="325"/>
    </row>
    <row r="116" spans="1:13" s="328" customFormat="1" ht="16.5">
      <c r="A116" s="335" t="s">
        <v>168</v>
      </c>
      <c r="B116" s="335" t="s">
        <v>168</v>
      </c>
      <c r="C116" s="335" t="s">
        <v>168</v>
      </c>
      <c r="D116" s="335" t="s">
        <v>168</v>
      </c>
      <c r="E116" s="335" t="s">
        <v>168</v>
      </c>
      <c r="F116" s="335" t="s">
        <v>168</v>
      </c>
      <c r="G116" s="335" t="s">
        <v>168</v>
      </c>
      <c r="H116" s="335" t="s">
        <v>168</v>
      </c>
      <c r="I116" s="335" t="s">
        <v>168</v>
      </c>
      <c r="J116" s="335" t="s">
        <v>168</v>
      </c>
      <c r="K116" s="335" t="s">
        <v>168</v>
      </c>
      <c r="L116" s="335" t="s">
        <v>168</v>
      </c>
      <c r="M116" s="325"/>
    </row>
    <row r="117" spans="1:13" s="328" customFormat="1" ht="16.5">
      <c r="A117" s="336"/>
      <c r="B117" s="336"/>
      <c r="C117" s="336"/>
      <c r="D117" s="336"/>
      <c r="E117" s="336"/>
      <c r="F117" s="336"/>
      <c r="G117" s="336"/>
      <c r="H117" s="337" t="s">
        <v>169</v>
      </c>
      <c r="I117" s="336"/>
      <c r="J117" s="365">
        <f>G13</f>
        <v>50</v>
      </c>
      <c r="K117" s="337" t="s">
        <v>170</v>
      </c>
      <c r="L117" s="336"/>
      <c r="M117" s="325"/>
    </row>
    <row r="118" spans="1:13" s="328" customFormat="1" ht="16.5">
      <c r="A118" s="339" t="s">
        <v>171</v>
      </c>
      <c r="B118" s="337" t="s">
        <v>172</v>
      </c>
      <c r="C118" s="337" t="s">
        <v>173</v>
      </c>
      <c r="D118" s="336"/>
      <c r="E118" s="337" t="s">
        <v>174</v>
      </c>
      <c r="F118" s="336"/>
      <c r="G118" s="336"/>
      <c r="H118" s="339" t="s">
        <v>175</v>
      </c>
      <c r="I118" s="365">
        <f>G14</f>
        <v>6.599999999999994</v>
      </c>
      <c r="J118" s="337" t="s">
        <v>176</v>
      </c>
      <c r="K118" s="336"/>
      <c r="L118" s="336"/>
      <c r="M118" s="325"/>
    </row>
    <row r="119" spans="1:13" s="328" customFormat="1" ht="16.5">
      <c r="A119" s="339" t="s">
        <v>177</v>
      </c>
      <c r="B119" s="337" t="s">
        <v>178</v>
      </c>
      <c r="C119" s="337" t="s">
        <v>179</v>
      </c>
      <c r="D119" s="336"/>
      <c r="E119" s="337" t="s">
        <v>180</v>
      </c>
      <c r="F119" s="336"/>
      <c r="G119" s="339" t="s">
        <v>181</v>
      </c>
      <c r="H119" s="337" t="s">
        <v>104</v>
      </c>
      <c r="I119" s="337" t="s">
        <v>104</v>
      </c>
      <c r="J119" s="337" t="s">
        <v>104</v>
      </c>
      <c r="K119" s="337" t="s">
        <v>104</v>
      </c>
      <c r="L119" s="337" t="s">
        <v>104</v>
      </c>
      <c r="M119" s="325"/>
    </row>
    <row r="120" spans="1:13" s="328" customFormat="1" ht="16.5">
      <c r="A120" s="336"/>
      <c r="B120" s="337" t="s">
        <v>182</v>
      </c>
      <c r="C120" s="337" t="s">
        <v>183</v>
      </c>
      <c r="D120" s="336"/>
      <c r="E120" s="339" t="s">
        <v>88</v>
      </c>
      <c r="F120" s="336"/>
      <c r="G120" s="337" t="s">
        <v>184</v>
      </c>
      <c r="H120" s="336"/>
      <c r="I120" s="336"/>
      <c r="J120" s="337" t="s">
        <v>185</v>
      </c>
      <c r="K120" s="336"/>
      <c r="L120" s="336"/>
      <c r="M120" s="325"/>
    </row>
    <row r="121" spans="1:13" s="328" customFormat="1" ht="16.5">
      <c r="A121" s="336"/>
      <c r="B121" s="337" t="s">
        <v>186</v>
      </c>
      <c r="C121" s="337" t="s">
        <v>187</v>
      </c>
      <c r="D121" s="336"/>
      <c r="E121" s="337" t="s">
        <v>188</v>
      </c>
      <c r="F121" s="336"/>
      <c r="G121" s="339" t="s">
        <v>189</v>
      </c>
      <c r="H121" s="337" t="s">
        <v>104</v>
      </c>
      <c r="I121" s="337" t="s">
        <v>105</v>
      </c>
      <c r="J121" s="339" t="s">
        <v>189</v>
      </c>
      <c r="K121" s="337" t="s">
        <v>104</v>
      </c>
      <c r="L121" s="337" t="s">
        <v>104</v>
      </c>
      <c r="M121" s="325"/>
    </row>
    <row r="122" spans="1:13" s="328" customFormat="1" ht="16.5">
      <c r="A122" s="336"/>
      <c r="B122" s="336"/>
      <c r="C122" s="337" t="s">
        <v>190</v>
      </c>
      <c r="D122" s="337" t="s">
        <v>191</v>
      </c>
      <c r="E122" s="337" t="s">
        <v>190</v>
      </c>
      <c r="F122" s="337" t="s">
        <v>191</v>
      </c>
      <c r="G122" s="337" t="s">
        <v>192</v>
      </c>
      <c r="H122" s="336"/>
      <c r="I122" s="337" t="s">
        <v>193</v>
      </c>
      <c r="J122" s="337" t="s">
        <v>192</v>
      </c>
      <c r="K122" s="336"/>
      <c r="L122" s="337" t="s">
        <v>193</v>
      </c>
      <c r="M122" s="325"/>
    </row>
    <row r="123" spans="1:13" s="328" customFormat="1" ht="16.5">
      <c r="A123" s="336"/>
      <c r="B123" s="336"/>
      <c r="C123" s="337" t="s">
        <v>194</v>
      </c>
      <c r="D123" s="337" t="s">
        <v>194</v>
      </c>
      <c r="E123" s="337" t="s">
        <v>194</v>
      </c>
      <c r="F123" s="337" t="s">
        <v>195</v>
      </c>
      <c r="G123" s="337" t="s">
        <v>196</v>
      </c>
      <c r="H123" s="337" t="s">
        <v>197</v>
      </c>
      <c r="I123" s="337" t="s">
        <v>322</v>
      </c>
      <c r="J123" s="337" t="s">
        <v>196</v>
      </c>
      <c r="K123" s="337" t="s">
        <v>197</v>
      </c>
      <c r="L123" s="337" t="s">
        <v>322</v>
      </c>
      <c r="M123" s="325"/>
    </row>
    <row r="124" spans="1:13" s="328" customFormat="1" ht="16.5">
      <c r="A124" s="336"/>
      <c r="B124" s="336"/>
      <c r="C124" s="337" t="s">
        <v>199</v>
      </c>
      <c r="D124" s="337" t="s">
        <v>199</v>
      </c>
      <c r="E124" s="337" t="s">
        <v>199</v>
      </c>
      <c r="F124" s="337" t="s">
        <v>199</v>
      </c>
      <c r="G124" s="337" t="s">
        <v>200</v>
      </c>
      <c r="H124" s="337" t="s">
        <v>198</v>
      </c>
      <c r="I124" s="337" t="s">
        <v>201</v>
      </c>
      <c r="J124" s="337" t="s">
        <v>200</v>
      </c>
      <c r="K124" s="337" t="s">
        <v>198</v>
      </c>
      <c r="L124" s="337" t="s">
        <v>202</v>
      </c>
      <c r="M124" s="325"/>
    </row>
    <row r="125" spans="1:13" s="328" customFormat="1" ht="16.5">
      <c r="A125" s="366" t="s">
        <v>168</v>
      </c>
      <c r="B125" s="366" t="s">
        <v>168</v>
      </c>
      <c r="C125" s="366" t="s">
        <v>168</v>
      </c>
      <c r="D125" s="366" t="s">
        <v>168</v>
      </c>
      <c r="E125" s="366" t="s">
        <v>168</v>
      </c>
      <c r="F125" s="366" t="s">
        <v>168</v>
      </c>
      <c r="G125" s="366" t="s">
        <v>168</v>
      </c>
      <c r="H125" s="366" t="s">
        <v>168</v>
      </c>
      <c r="I125" s="366" t="s">
        <v>168</v>
      </c>
      <c r="J125" s="366" t="s">
        <v>168</v>
      </c>
      <c r="K125" s="366" t="s">
        <v>168</v>
      </c>
      <c r="L125" s="366" t="s">
        <v>168</v>
      </c>
      <c r="M125" s="325"/>
    </row>
    <row r="126" spans="1:13" s="328" customFormat="1" ht="16.5">
      <c r="A126" s="336">
        <v>1</v>
      </c>
      <c r="B126" s="343">
        <v>100</v>
      </c>
      <c r="C126" s="365">
        <f>(J47/G13)*1000</f>
        <v>1138.3131537255858</v>
      </c>
      <c r="D126" s="365">
        <f>(J83*1000)/G13</f>
        <v>4189.168839421048</v>
      </c>
      <c r="E126" s="367">
        <f>H64</f>
        <v>13.63593627296215</v>
      </c>
      <c r="F126" s="368">
        <f>H100</f>
        <v>28.010830706704997</v>
      </c>
      <c r="G126" s="369">
        <f>(C126/1000)*G13</f>
        <v>56.91565768627929</v>
      </c>
      <c r="H126" s="365">
        <f aca="true" t="shared" si="25" ref="H126:H139">0.1*G126</f>
        <v>5.691565768627929</v>
      </c>
      <c r="I126" s="365">
        <f>G126+H126+I118</f>
        <v>69.20722345490722</v>
      </c>
      <c r="J126" s="370">
        <f>(D126/1000)*B83</f>
        <v>209.4584419710524</v>
      </c>
      <c r="K126" s="365">
        <f aca="true" t="shared" si="26" ref="K126:K139">0.1*J126</f>
        <v>20.94584419710524</v>
      </c>
      <c r="L126" s="365">
        <f>J126+K126+G14</f>
        <v>237.00428616815762</v>
      </c>
      <c r="M126" s="325"/>
    </row>
    <row r="127" spans="1:13" s="328" customFormat="1" ht="16.5">
      <c r="A127" s="336">
        <v>2</v>
      </c>
      <c r="B127" s="343">
        <v>150</v>
      </c>
      <c r="C127" s="365">
        <f>(J48/G13)*1000</f>
        <v>161.90594591393605</v>
      </c>
      <c r="D127" s="365">
        <f>(J84*1000)/G13</f>
        <v>595.8389756982084</v>
      </c>
      <c r="E127" s="367">
        <f aca="true" t="shared" si="27" ref="E127:E139">H65</f>
        <v>6.060354689445927</v>
      </c>
      <c r="F127" s="368">
        <f aca="true" t="shared" si="28" ref="F127:F139">H101</f>
        <v>12.449131899014032</v>
      </c>
      <c r="G127" s="369">
        <f>(C127/1000)*G13</f>
        <v>8.095297295696803</v>
      </c>
      <c r="H127" s="365">
        <f t="shared" si="25"/>
        <v>0.8095297295696803</v>
      </c>
      <c r="I127" s="365">
        <f>G127+H127+I118</f>
        <v>15.504827025266477</v>
      </c>
      <c r="J127" s="370">
        <f aca="true" t="shared" si="29" ref="J127:J139">(D127/1000)*B84</f>
        <v>29.79194878491042</v>
      </c>
      <c r="K127" s="365">
        <f t="shared" si="26"/>
        <v>2.9791948784910423</v>
      </c>
      <c r="L127" s="365">
        <f>J127+K127+G14</f>
        <v>39.371143663401455</v>
      </c>
      <c r="M127" s="325"/>
    </row>
    <row r="128" spans="1:13" s="328" customFormat="1" ht="16.5">
      <c r="A128" s="336">
        <v>3</v>
      </c>
      <c r="B128" s="343">
        <v>200</v>
      </c>
      <c r="C128" s="365">
        <f>(J49/G13)*1000</f>
        <v>40.579573220809486</v>
      </c>
      <c r="D128" s="365">
        <f>(J85*1000)/G13</f>
        <v>149.3391191143177</v>
      </c>
      <c r="E128" s="367">
        <f t="shared" si="27"/>
        <v>3.40892499555998</v>
      </c>
      <c r="F128" s="368">
        <f t="shared" si="28"/>
        <v>7.002586330050583</v>
      </c>
      <c r="G128" s="369">
        <f>(C128/1000)*G13</f>
        <v>2.0289786610404743</v>
      </c>
      <c r="H128" s="365">
        <f t="shared" si="25"/>
        <v>0.20289786610404745</v>
      </c>
      <c r="I128" s="365">
        <f>G128+H128+I118</f>
        <v>8.831876527144516</v>
      </c>
      <c r="J128" s="370">
        <f t="shared" si="29"/>
        <v>7.466955955715885</v>
      </c>
      <c r="K128" s="365">
        <f t="shared" si="26"/>
        <v>0.7466955955715885</v>
      </c>
      <c r="L128" s="365">
        <f>J128+K128+G14</f>
        <v>14.813651551287467</v>
      </c>
      <c r="M128" s="325"/>
    </row>
    <row r="129" spans="1:13" s="328" customFormat="1" ht="16.5">
      <c r="A129" s="336">
        <v>4</v>
      </c>
      <c r="B129" s="343">
        <v>250</v>
      </c>
      <c r="C129" s="365">
        <f>(J50/G13)*1000</f>
        <v>13.872997647679425</v>
      </c>
      <c r="D129" s="365">
        <f>(J86*1000)/G13</f>
        <v>51.05478159925602</v>
      </c>
      <c r="E129" s="367">
        <f t="shared" si="27"/>
        <v>2.1816998263182605</v>
      </c>
      <c r="F129" s="368">
        <f t="shared" si="28"/>
        <v>4.481630249990398</v>
      </c>
      <c r="G129" s="369">
        <f>(C129/1000)*G13</f>
        <v>0.6936498823839712</v>
      </c>
      <c r="H129" s="365">
        <f t="shared" si="25"/>
        <v>0.06936498823839712</v>
      </c>
      <c r="I129" s="365">
        <f>G129+H129+I118</f>
        <v>7.363014870622362</v>
      </c>
      <c r="J129" s="370">
        <f t="shared" si="29"/>
        <v>2.552739079962801</v>
      </c>
      <c r="K129" s="365">
        <f t="shared" si="26"/>
        <v>0.25527390799628014</v>
      </c>
      <c r="L129" s="365">
        <f>J129+K129+G14</f>
        <v>9.408012987959076</v>
      </c>
      <c r="M129" s="330"/>
    </row>
    <row r="130" spans="1:13" s="328" customFormat="1" ht="16.5">
      <c r="A130" s="336">
        <v>5</v>
      </c>
      <c r="B130" s="343">
        <v>300</v>
      </c>
      <c r="C130" s="365">
        <f>(J51/G13)*1000</f>
        <v>5.77176339006168</v>
      </c>
      <c r="D130" s="365">
        <f>(J87*1000)/G13</f>
        <v>21.24098387427262</v>
      </c>
      <c r="E130" s="367">
        <f t="shared" si="27"/>
        <v>1.5150624181029198</v>
      </c>
      <c r="F130" s="368">
        <f t="shared" si="28"/>
        <v>3.112229043466563</v>
      </c>
      <c r="G130" s="369">
        <f>(C130/1000)*G13</f>
        <v>0.288588169503084</v>
      </c>
      <c r="H130" s="365">
        <f t="shared" si="25"/>
        <v>0.028858816950308404</v>
      </c>
      <c r="I130" s="365">
        <f>G130+H130+I118</f>
        <v>6.9174469864533865</v>
      </c>
      <c r="J130" s="370">
        <f t="shared" si="29"/>
        <v>1.062049193713631</v>
      </c>
      <c r="K130" s="365">
        <f t="shared" si="26"/>
        <v>0.1062049193713631</v>
      </c>
      <c r="L130" s="365">
        <f>J130+K130+G14</f>
        <v>7.768254113084988</v>
      </c>
      <c r="M130" s="330"/>
    </row>
    <row r="131" spans="1:13" s="328" customFormat="1" ht="16.5">
      <c r="A131" s="336">
        <v>6</v>
      </c>
      <c r="B131" s="343">
        <v>350</v>
      </c>
      <c r="C131" s="365">
        <f>(J52/G13)*1000</f>
        <v>2.7497579163612405</v>
      </c>
      <c r="D131" s="365">
        <f>(J88*1000)/G13</f>
        <v>10.119535333023832</v>
      </c>
      <c r="E131" s="367">
        <f t="shared" si="27"/>
        <v>1.1131027930407877</v>
      </c>
      <c r="F131" s="368">
        <f t="shared" si="28"/>
        <v>2.2865268120128106</v>
      </c>
      <c r="G131" s="369">
        <f>(C131/1000)*G13</f>
        <v>0.13748789581806203</v>
      </c>
      <c r="H131" s="365">
        <f t="shared" si="25"/>
        <v>0.013748789581806205</v>
      </c>
      <c r="I131" s="365">
        <f>G131+H131+I118</f>
        <v>6.751236685399863</v>
      </c>
      <c r="J131" s="370">
        <f t="shared" si="29"/>
        <v>0.5059767666511916</v>
      </c>
      <c r="K131" s="365">
        <f t="shared" si="26"/>
        <v>0.05059767666511916</v>
      </c>
      <c r="L131" s="365">
        <f>J131+K131+G14</f>
        <v>7.156574443316305</v>
      </c>
      <c r="M131" s="330"/>
    </row>
    <row r="132" spans="1:13" s="328" customFormat="1" ht="16.5">
      <c r="A132" s="336">
        <v>7</v>
      </c>
      <c r="B132" s="343">
        <v>400</v>
      </c>
      <c r="C132" s="365">
        <f>(J53/G13)*1000</f>
        <v>1.4466157729914204</v>
      </c>
      <c r="D132" s="365">
        <f>(J89*1000)/G13</f>
        <v>5.323770263917698</v>
      </c>
      <c r="E132" s="367">
        <f t="shared" si="27"/>
        <v>0.8522164809757659</v>
      </c>
      <c r="F132" s="368">
        <f t="shared" si="28"/>
        <v>1.7506162463819193</v>
      </c>
      <c r="G132" s="369">
        <f>(C132/1000)*G13</f>
        <v>0.07233078864957103</v>
      </c>
      <c r="H132" s="365">
        <f t="shared" si="25"/>
        <v>0.007233078864957103</v>
      </c>
      <c r="I132" s="365">
        <f>G132+H132+I118</f>
        <v>6.679563867514522</v>
      </c>
      <c r="J132" s="370">
        <f t="shared" si="29"/>
        <v>0.2661885131958849</v>
      </c>
      <c r="K132" s="365">
        <f t="shared" si="26"/>
        <v>0.02661885131958849</v>
      </c>
      <c r="L132" s="365">
        <f>J132+K132+G14</f>
        <v>6.892807364515468</v>
      </c>
      <c r="M132" s="330"/>
    </row>
    <row r="133" spans="1:13" s="328" customFormat="1" ht="16.5">
      <c r="A133" s="336">
        <v>8</v>
      </c>
      <c r="B133" s="343">
        <v>450</v>
      </c>
      <c r="C133" s="365">
        <f>(J54/G13)*1000</f>
        <v>0.8209364955512387</v>
      </c>
      <c r="D133" s="365">
        <f>(J90*1000)/G13</f>
        <v>3.0211735453035247</v>
      </c>
      <c r="E133" s="367">
        <f t="shared" si="27"/>
        <v>0.6733542491364791</v>
      </c>
      <c r="F133" s="368">
        <f t="shared" si="28"/>
        <v>1.3831988871641399</v>
      </c>
      <c r="G133" s="369">
        <f>(C133/1000)*G13</f>
        <v>0.041046824777561934</v>
      </c>
      <c r="H133" s="365">
        <f t="shared" si="25"/>
        <v>0.004104682477756193</v>
      </c>
      <c r="I133" s="365">
        <f>G133+H133+I118</f>
        <v>6.645151507255313</v>
      </c>
      <c r="J133" s="370">
        <f t="shared" si="29"/>
        <v>0.15105867726517624</v>
      </c>
      <c r="K133" s="365">
        <f t="shared" si="26"/>
        <v>0.015105867726517626</v>
      </c>
      <c r="L133" s="365">
        <f>J133+K133+G14</f>
        <v>6.766164544991688</v>
      </c>
      <c r="M133" s="330"/>
    </row>
    <row r="134" spans="1:13" s="328" customFormat="1" ht="16.5">
      <c r="A134" s="336">
        <v>9</v>
      </c>
      <c r="B134" s="343">
        <v>500</v>
      </c>
      <c r="C134" s="365">
        <f>(J55/G13)*1000</f>
        <v>0.49455663583752135</v>
      </c>
      <c r="D134" s="365">
        <f>(J91*1000)/G13</f>
        <v>1.820045074063067</v>
      </c>
      <c r="E134" s="367">
        <f t="shared" si="27"/>
        <v>0.5454155051671843</v>
      </c>
      <c r="F134" s="368">
        <f t="shared" si="28"/>
        <v>1.1203881474822435</v>
      </c>
      <c r="G134" s="369">
        <f>(C134/1000)*G13</f>
        <v>0.024727831791876067</v>
      </c>
      <c r="H134" s="365">
        <f t="shared" si="25"/>
        <v>0.0024727831791876067</v>
      </c>
      <c r="I134" s="365">
        <f>G134+H134+I118</f>
        <v>6.627200614971058</v>
      </c>
      <c r="J134" s="370">
        <f t="shared" si="29"/>
        <v>0.09100225370315335</v>
      </c>
      <c r="K134" s="365">
        <f t="shared" si="26"/>
        <v>0.009100225370315336</v>
      </c>
      <c r="L134" s="365">
        <f>J134+K134+G14</f>
        <v>6.700102479073463</v>
      </c>
      <c r="M134" s="330"/>
    </row>
    <row r="135" spans="1:13" s="328" customFormat="1" ht="16.5">
      <c r="A135" s="336">
        <v>10</v>
      </c>
      <c r="B135" s="343">
        <v>600</v>
      </c>
      <c r="C135" s="365">
        <f>(J56/G13)*1000</f>
        <v>0.2057568203737528</v>
      </c>
      <c r="D135" s="365">
        <f>(J92*1000)/G13</f>
        <v>0.7572169904098903</v>
      </c>
      <c r="E135" s="367">
        <f t="shared" si="27"/>
        <v>0.3787590410748262</v>
      </c>
      <c r="F135" s="368">
        <f t="shared" si="28"/>
        <v>0.7780437782785415</v>
      </c>
      <c r="G135" s="369">
        <f>(C135/1000)*G13</f>
        <v>0.01028784101868764</v>
      </c>
      <c r="H135" s="365">
        <f t="shared" si="25"/>
        <v>0.0010287841018687641</v>
      </c>
      <c r="I135" s="365">
        <f>G135+H135+I118</f>
        <v>6.61131662512055</v>
      </c>
      <c r="J135" s="370">
        <f t="shared" si="29"/>
        <v>0.03786084952049452</v>
      </c>
      <c r="K135" s="365">
        <f t="shared" si="26"/>
        <v>0.0037860849520494518</v>
      </c>
      <c r="L135" s="365">
        <f>J135+K135+G14</f>
        <v>6.641646934472538</v>
      </c>
      <c r="M135" s="330"/>
    </row>
    <row r="136" spans="1:13" s="328" customFormat="1" ht="16.5">
      <c r="A136" s="336">
        <v>11</v>
      </c>
      <c r="B136" s="343">
        <v>700</v>
      </c>
      <c r="C136" s="365">
        <f>(J57/G13)*1000</f>
        <v>0.09802575182521446</v>
      </c>
      <c r="D136" s="365">
        <f>(J93*1000)/G13</f>
        <v>0.3607499602925647</v>
      </c>
      <c r="E136" s="367">
        <f t="shared" si="27"/>
        <v>0.27827087615158563</v>
      </c>
      <c r="F136" s="368">
        <f t="shared" si="28"/>
        <v>0.5716217974664463</v>
      </c>
      <c r="G136" s="369">
        <f>(C136/1000)*G13</f>
        <v>0.0049012875912607225</v>
      </c>
      <c r="H136" s="365">
        <f t="shared" si="25"/>
        <v>0.0004901287591260723</v>
      </c>
      <c r="I136" s="365">
        <f>G136+H136+I118</f>
        <v>6.605391416350381</v>
      </c>
      <c r="J136" s="370">
        <f t="shared" si="29"/>
        <v>0.01803749801462823</v>
      </c>
      <c r="K136" s="365">
        <f t="shared" si="26"/>
        <v>0.0018037498014628233</v>
      </c>
      <c r="L136" s="365">
        <f>J136+K136+G14</f>
        <v>6.619841247816085</v>
      </c>
      <c r="M136" s="330"/>
    </row>
    <row r="137" spans="1:13" s="328" customFormat="1" ht="16.5">
      <c r="A137" s="336">
        <v>12</v>
      </c>
      <c r="B137" s="343">
        <v>800</v>
      </c>
      <c r="C137" s="365">
        <f>(J58/G13)*1000</f>
        <v>0.0515702120197364</v>
      </c>
      <c r="D137" s="365">
        <f>(J94*1000)/G13</f>
        <v>0.18978637339676788</v>
      </c>
      <c r="E137" s="367">
        <f t="shared" si="27"/>
        <v>0.21305042832936075</v>
      </c>
      <c r="F137" s="368">
        <f t="shared" si="28"/>
        <v>0.4376464776942182</v>
      </c>
      <c r="G137" s="369">
        <f>(C137/1000)*G13</f>
        <v>0.0025785106009868198</v>
      </c>
      <c r="H137" s="365">
        <f t="shared" si="25"/>
        <v>0.00025785106009868197</v>
      </c>
      <c r="I137" s="365">
        <f>G137+H137+I118</f>
        <v>6.60283636166108</v>
      </c>
      <c r="J137" s="370">
        <f t="shared" si="29"/>
        <v>0.009489318669838393</v>
      </c>
      <c r="K137" s="365">
        <f t="shared" si="26"/>
        <v>0.0009489318669838394</v>
      </c>
      <c r="L137" s="365">
        <f>J137+K137+G14</f>
        <v>6.610438250536816</v>
      </c>
      <c r="M137" s="330"/>
    </row>
    <row r="138" spans="1:13" s="328" customFormat="1" ht="16.5">
      <c r="A138" s="336">
        <v>13</v>
      </c>
      <c r="B138" s="343">
        <v>900</v>
      </c>
      <c r="C138" s="365">
        <f>(J59/G13)*1000</f>
        <v>0.02926545522365728</v>
      </c>
      <c r="D138" s="365">
        <f>(J95*1000)/G13</f>
        <v>0.10770141124449467</v>
      </c>
      <c r="E138" s="367">
        <f t="shared" si="27"/>
        <v>0.16833564522439862</v>
      </c>
      <c r="F138" s="368">
        <f t="shared" si="28"/>
        <v>0.3457937295903987</v>
      </c>
      <c r="G138" s="369">
        <f>(C138/1000)*G13</f>
        <v>0.001463272761182864</v>
      </c>
      <c r="H138" s="365">
        <f t="shared" si="25"/>
        <v>0.0001463272761182864</v>
      </c>
      <c r="I138" s="365">
        <f>G138+H138+I118</f>
        <v>6.601609600037295</v>
      </c>
      <c r="J138" s="370">
        <f t="shared" si="29"/>
        <v>0.005385070562224733</v>
      </c>
      <c r="K138" s="365">
        <f t="shared" si="26"/>
        <v>0.0005385070562224733</v>
      </c>
      <c r="L138" s="365">
        <f>J138+K138+G14</f>
        <v>6.605923577618442</v>
      </c>
      <c r="M138" s="330"/>
    </row>
    <row r="139" spans="1:13" s="328" customFormat="1" ht="16.5">
      <c r="A139" s="336">
        <v>14</v>
      </c>
      <c r="B139" s="343">
        <v>1000</v>
      </c>
      <c r="C139" s="365">
        <f>(J60/G13)*1000</f>
        <v>0.017630383300168685</v>
      </c>
      <c r="D139" s="365">
        <f>(J96*1000)/G13</f>
        <v>0.06488254317925639</v>
      </c>
      <c r="E139" s="367">
        <f t="shared" si="27"/>
        <v>0.13635151347964555</v>
      </c>
      <c r="F139" s="368">
        <f t="shared" si="28"/>
        <v>0.2800921832008301</v>
      </c>
      <c r="G139" s="369">
        <f>(C139/1000)*G13</f>
        <v>0.0008815191650084341</v>
      </c>
      <c r="H139" s="365">
        <f t="shared" si="25"/>
        <v>8.815191650084342E-05</v>
      </c>
      <c r="I139" s="365">
        <f>G139+H139+I118</f>
        <v>6.600969671081503</v>
      </c>
      <c r="J139" s="370">
        <f t="shared" si="29"/>
        <v>0.003244127158962819</v>
      </c>
      <c r="K139" s="365">
        <f t="shared" si="26"/>
        <v>0.0003244127158962819</v>
      </c>
      <c r="L139" s="365">
        <f>J139+K139+G14</f>
        <v>6.603568539874853</v>
      </c>
      <c r="M139" s="330"/>
    </row>
    <row r="140" spans="1:13" s="328" customFormat="1" ht="16.5">
      <c r="A140" s="325"/>
      <c r="B140" s="325"/>
      <c r="C140" s="325"/>
      <c r="D140" s="325"/>
      <c r="E140" s="325"/>
      <c r="F140" s="325"/>
      <c r="G140" s="325"/>
      <c r="H140" s="325"/>
      <c r="I140" s="325"/>
      <c r="J140" s="325"/>
      <c r="K140" s="342"/>
      <c r="L140" s="325"/>
      <c r="M140" s="330"/>
    </row>
    <row r="141" spans="1:13" s="328" customFormat="1" ht="16.5">
      <c r="A141" s="335" t="s">
        <v>168</v>
      </c>
      <c r="B141" s="371" t="s">
        <v>203</v>
      </c>
      <c r="C141" s="371"/>
      <c r="D141" s="371"/>
      <c r="E141" s="371"/>
      <c r="F141" s="371"/>
      <c r="G141" s="371"/>
      <c r="H141" s="371"/>
      <c r="I141" s="325"/>
      <c r="J141" s="325"/>
      <c r="K141" s="325"/>
      <c r="L141" s="325"/>
      <c r="M141" s="330"/>
    </row>
    <row r="142" spans="2:13" s="328" customFormat="1" ht="16.5">
      <c r="B142" s="324"/>
      <c r="C142" s="324"/>
      <c r="D142" s="325"/>
      <c r="E142" s="325"/>
      <c r="F142" s="325"/>
      <c r="G142" s="325"/>
      <c r="H142" s="325"/>
      <c r="I142" s="325"/>
      <c r="J142" s="325"/>
      <c r="K142" s="325"/>
      <c r="L142" s="325"/>
      <c r="M142" s="330"/>
    </row>
    <row r="143" spans="1:13" s="328" customFormat="1" ht="16.5">
      <c r="A143" s="325"/>
      <c r="B143" s="325"/>
      <c r="C143" s="325"/>
      <c r="D143" s="325"/>
      <c r="E143" s="325"/>
      <c r="F143" s="325"/>
      <c r="G143" s="325"/>
      <c r="H143" s="325"/>
      <c r="I143" s="325"/>
      <c r="J143" s="325"/>
      <c r="K143" s="325"/>
      <c r="L143" s="325"/>
      <c r="M143" s="330"/>
    </row>
    <row r="144" spans="1:13" s="328" customFormat="1" ht="16.5">
      <c r="A144" s="335" t="s">
        <v>96</v>
      </c>
      <c r="B144" s="335" t="s">
        <v>96</v>
      </c>
      <c r="C144" s="335" t="s">
        <v>96</v>
      </c>
      <c r="D144" s="335" t="s">
        <v>96</v>
      </c>
      <c r="E144" s="335" t="s">
        <v>96</v>
      </c>
      <c r="F144" s="335" t="s">
        <v>96</v>
      </c>
      <c r="G144" s="335" t="s">
        <v>96</v>
      </c>
      <c r="H144" s="335" t="s">
        <v>96</v>
      </c>
      <c r="I144" s="335" t="s">
        <v>96</v>
      </c>
      <c r="J144" s="335" t="s">
        <v>96</v>
      </c>
      <c r="K144" s="335" t="s">
        <v>96</v>
      </c>
      <c r="L144" s="335" t="s">
        <v>96</v>
      </c>
      <c r="M144" s="325"/>
    </row>
    <row r="145" spans="1:13" s="328" customFormat="1" ht="16.5">
      <c r="A145" s="334" t="s">
        <v>204</v>
      </c>
      <c r="B145" s="325"/>
      <c r="C145" s="325"/>
      <c r="D145" s="325"/>
      <c r="E145" s="325"/>
      <c r="F145" s="325"/>
      <c r="G145" s="325"/>
      <c r="H145" s="325"/>
      <c r="I145" s="325"/>
      <c r="J145" s="325"/>
      <c r="K145" s="325"/>
      <c r="L145" s="325"/>
      <c r="M145" s="325"/>
    </row>
    <row r="146" spans="1:13" s="328" customFormat="1" ht="16.5">
      <c r="A146" s="335" t="s">
        <v>168</v>
      </c>
      <c r="B146" s="335" t="s">
        <v>168</v>
      </c>
      <c r="C146" s="335" t="s">
        <v>168</v>
      </c>
      <c r="D146" s="335" t="s">
        <v>168</v>
      </c>
      <c r="E146" s="335" t="s">
        <v>168</v>
      </c>
      <c r="F146" s="335" t="s">
        <v>168</v>
      </c>
      <c r="G146" s="335" t="s">
        <v>168</v>
      </c>
      <c r="H146" s="335" t="s">
        <v>168</v>
      </c>
      <c r="I146" s="335" t="s">
        <v>168</v>
      </c>
      <c r="J146" s="335" t="s">
        <v>168</v>
      </c>
      <c r="K146" s="335" t="s">
        <v>168</v>
      </c>
      <c r="L146" s="335" t="s">
        <v>168</v>
      </c>
      <c r="M146" s="325"/>
    </row>
    <row r="147" spans="1:13" s="328" customFormat="1" ht="16.5">
      <c r="A147" s="336"/>
      <c r="B147" s="336"/>
      <c r="C147" s="336"/>
      <c r="D147" s="337" t="s">
        <v>205</v>
      </c>
      <c r="E147" s="336"/>
      <c r="F147" s="336"/>
      <c r="G147" s="336"/>
      <c r="H147" s="337" t="s">
        <v>206</v>
      </c>
      <c r="I147" s="336"/>
      <c r="J147" s="336"/>
      <c r="K147" s="337" t="s">
        <v>207</v>
      </c>
      <c r="L147" s="337" t="s">
        <v>207</v>
      </c>
      <c r="M147" s="325"/>
    </row>
    <row r="148" spans="1:13" s="328" customFormat="1" ht="16.5">
      <c r="A148" s="336"/>
      <c r="B148" s="365">
        <f>G32</f>
        <v>61.33929647698676</v>
      </c>
      <c r="C148" s="336"/>
      <c r="D148" s="365"/>
      <c r="E148" s="339" t="s">
        <v>208</v>
      </c>
      <c r="F148" s="336"/>
      <c r="G148" s="336"/>
      <c r="H148" s="365">
        <f>I32</f>
        <v>163.55</v>
      </c>
      <c r="I148" s="372" t="s">
        <v>10</v>
      </c>
      <c r="J148" s="373"/>
      <c r="K148" s="337" t="s">
        <v>209</v>
      </c>
      <c r="L148" s="337" t="s">
        <v>209</v>
      </c>
      <c r="M148" s="325"/>
    </row>
    <row r="149" spans="1:13" s="328" customFormat="1" ht="16.5">
      <c r="A149" s="336"/>
      <c r="B149" s="336"/>
      <c r="C149" s="336"/>
      <c r="D149" s="337" t="s">
        <v>210</v>
      </c>
      <c r="E149" s="337" t="s">
        <v>104</v>
      </c>
      <c r="F149" s="337" t="s">
        <v>104</v>
      </c>
      <c r="G149" s="336"/>
      <c r="H149" s="337" t="s">
        <v>210</v>
      </c>
      <c r="I149" s="337" t="s">
        <v>104</v>
      </c>
      <c r="J149" s="337" t="s">
        <v>104</v>
      </c>
      <c r="K149" s="337" t="s">
        <v>211</v>
      </c>
      <c r="L149" s="336">
        <f>G13</f>
        <v>50</v>
      </c>
      <c r="M149" s="325"/>
    </row>
    <row r="150" spans="1:13" s="328" customFormat="1" ht="16.5">
      <c r="A150" s="337" t="s">
        <v>171</v>
      </c>
      <c r="B150" s="339" t="s">
        <v>212</v>
      </c>
      <c r="C150" s="337" t="s">
        <v>213</v>
      </c>
      <c r="D150" s="337" t="s">
        <v>201</v>
      </c>
      <c r="E150" s="337" t="s">
        <v>214</v>
      </c>
      <c r="F150" s="337" t="s">
        <v>215</v>
      </c>
      <c r="G150" s="336"/>
      <c r="H150" s="337" t="s">
        <v>202</v>
      </c>
      <c r="I150" s="337" t="s">
        <v>214</v>
      </c>
      <c r="J150" s="337" t="s">
        <v>215</v>
      </c>
      <c r="K150" s="337" t="s">
        <v>216</v>
      </c>
      <c r="L150" s="337" t="s">
        <v>217</v>
      </c>
      <c r="M150" s="325"/>
    </row>
    <row r="151" spans="1:13" s="328" customFormat="1" ht="16.5">
      <c r="A151" s="339" t="s">
        <v>177</v>
      </c>
      <c r="B151" s="337" t="s">
        <v>178</v>
      </c>
      <c r="C151" s="337" t="s">
        <v>218</v>
      </c>
      <c r="D151" s="337" t="s">
        <v>193</v>
      </c>
      <c r="E151" s="337" t="s">
        <v>219</v>
      </c>
      <c r="F151" s="337" t="s">
        <v>220</v>
      </c>
      <c r="G151" s="336"/>
      <c r="H151" s="337" t="s">
        <v>193</v>
      </c>
      <c r="I151" s="337" t="s">
        <v>219</v>
      </c>
      <c r="J151" s="337" t="s">
        <v>220</v>
      </c>
      <c r="K151" s="337" t="s">
        <v>221</v>
      </c>
      <c r="L151" s="337" t="s">
        <v>211</v>
      </c>
      <c r="M151" s="325"/>
    </row>
    <row r="152" spans="1:13" s="328" customFormat="1" ht="16.5">
      <c r="A152" s="336"/>
      <c r="B152" s="337" t="s">
        <v>222</v>
      </c>
      <c r="C152" s="374" t="s">
        <v>212</v>
      </c>
      <c r="D152" s="337" t="s">
        <v>223</v>
      </c>
      <c r="E152" s="375" t="s">
        <v>224</v>
      </c>
      <c r="F152" s="365">
        <f>G17</f>
        <v>25000</v>
      </c>
      <c r="G152" s="336"/>
      <c r="H152" s="337" t="s">
        <v>223</v>
      </c>
      <c r="I152" s="337" t="s">
        <v>225</v>
      </c>
      <c r="J152" s="365">
        <f>G17</f>
        <v>25000</v>
      </c>
      <c r="K152" s="337" t="s">
        <v>226</v>
      </c>
      <c r="L152" s="337" t="s">
        <v>227</v>
      </c>
      <c r="M152" s="325"/>
    </row>
    <row r="153" spans="1:13" s="328" customFormat="1" ht="16.5">
      <c r="A153" s="336"/>
      <c r="B153" s="337" t="s">
        <v>228</v>
      </c>
      <c r="C153" s="336"/>
      <c r="D153" s="337" t="s">
        <v>182</v>
      </c>
      <c r="E153" s="376"/>
      <c r="F153" s="337" t="s">
        <v>229</v>
      </c>
      <c r="G153" s="336"/>
      <c r="H153" s="337" t="s">
        <v>182</v>
      </c>
      <c r="I153" s="343">
        <v>50</v>
      </c>
      <c r="J153" s="337" t="s">
        <v>229</v>
      </c>
      <c r="K153" s="339" t="s">
        <v>88</v>
      </c>
      <c r="L153" s="337" t="s">
        <v>230</v>
      </c>
      <c r="M153" s="325"/>
    </row>
    <row r="154" spans="1:13" s="328" customFormat="1" ht="16.5">
      <c r="A154" s="336"/>
      <c r="B154" s="336"/>
      <c r="C154" s="336"/>
      <c r="D154" s="337" t="s">
        <v>231</v>
      </c>
      <c r="E154" s="337" t="s">
        <v>232</v>
      </c>
      <c r="F154" s="337" t="s">
        <v>233</v>
      </c>
      <c r="G154" s="336"/>
      <c r="H154" s="337" t="s">
        <v>231</v>
      </c>
      <c r="I154" s="337" t="s">
        <v>232</v>
      </c>
      <c r="J154" s="337" t="s">
        <v>233</v>
      </c>
      <c r="K154" s="337" t="s">
        <v>234</v>
      </c>
      <c r="L154" s="337" t="s">
        <v>234</v>
      </c>
      <c r="M154" s="325"/>
    </row>
    <row r="155" spans="1:13" s="328" customFormat="1" ht="16.5">
      <c r="A155" s="366" t="s">
        <v>168</v>
      </c>
      <c r="B155" s="366" t="s">
        <v>168</v>
      </c>
      <c r="C155" s="366" t="s">
        <v>168</v>
      </c>
      <c r="D155" s="366" t="s">
        <v>168</v>
      </c>
      <c r="E155" s="366" t="s">
        <v>168</v>
      </c>
      <c r="F155" s="366" t="s">
        <v>168</v>
      </c>
      <c r="G155" s="366" t="s">
        <v>168</v>
      </c>
      <c r="H155" s="366" t="s">
        <v>168</v>
      </c>
      <c r="I155" s="366" t="s">
        <v>168</v>
      </c>
      <c r="J155" s="366" t="s">
        <v>168</v>
      </c>
      <c r="K155" s="366" t="s">
        <v>168</v>
      </c>
      <c r="L155" s="366" t="s">
        <v>168</v>
      </c>
      <c r="M155" s="325"/>
    </row>
    <row r="156" spans="1:13" s="328" customFormat="1" ht="16.5">
      <c r="A156" s="336">
        <v>1</v>
      </c>
      <c r="B156" s="343">
        <v>100</v>
      </c>
      <c r="C156" s="344" t="s">
        <v>116</v>
      </c>
      <c r="D156" s="365">
        <f>I126</f>
        <v>69.20722345490722</v>
      </c>
      <c r="E156" s="336">
        <f>1.5*G34*D156</f>
        <v>1687.7458339755806</v>
      </c>
      <c r="F156" s="336">
        <f>E156*$G$17/1000</f>
        <v>42193.64584938952</v>
      </c>
      <c r="G156" s="366"/>
      <c r="H156" s="365">
        <f>L126</f>
        <v>237.00428616815762</v>
      </c>
      <c r="I156" s="336">
        <f>1.5*I34*H156</f>
        <v>11872.577927923023</v>
      </c>
      <c r="J156" s="336">
        <f>I156*J152/1000</f>
        <v>296814.4481980756</v>
      </c>
      <c r="K156" s="377">
        <f>M10</f>
        <v>918</v>
      </c>
      <c r="L156" s="339">
        <f>(K156*L149)/1000</f>
        <v>45.9</v>
      </c>
      <c r="M156" s="325"/>
    </row>
    <row r="157" spans="1:13" s="328" customFormat="1" ht="16.5">
      <c r="A157" s="336">
        <v>2</v>
      </c>
      <c r="B157" s="343">
        <v>150</v>
      </c>
      <c r="C157" s="344" t="s">
        <v>116</v>
      </c>
      <c r="D157" s="365">
        <f>I127</f>
        <v>15.504827025266477</v>
      </c>
      <c r="E157" s="336">
        <f>1.5*G34*D157</f>
        <v>378.11381402196685</v>
      </c>
      <c r="F157" s="336">
        <f>E157*$G$17/1000</f>
        <v>9452.84535054917</v>
      </c>
      <c r="G157" s="366"/>
      <c r="H157" s="365">
        <f>L127</f>
        <v>39.371143663401455</v>
      </c>
      <c r="I157" s="336">
        <f>1.5*I34*H157</f>
        <v>1972.2722268555679</v>
      </c>
      <c r="J157" s="336">
        <f>I157*J152/1000</f>
        <v>49306.8056713892</v>
      </c>
      <c r="K157" s="377">
        <f>M11</f>
        <v>1395</v>
      </c>
      <c r="L157" s="339">
        <f>(K157*L149)/1000</f>
        <v>69.75</v>
      </c>
      <c r="M157" s="325"/>
    </row>
    <row r="158" spans="1:13" s="328" customFormat="1" ht="16.5">
      <c r="A158" s="336">
        <v>3</v>
      </c>
      <c r="B158" s="343">
        <v>200</v>
      </c>
      <c r="C158" s="344" t="s">
        <v>116</v>
      </c>
      <c r="D158" s="365">
        <f>I128</f>
        <v>8.831876527144516</v>
      </c>
      <c r="E158" s="336">
        <f>1.5*G34*D158</f>
        <v>215.38160427122222</v>
      </c>
      <c r="F158" s="336">
        <f>E158*$G$17/1000</f>
        <v>5384.540106780555</v>
      </c>
      <c r="G158" s="366"/>
      <c r="H158" s="365">
        <f>L128</f>
        <v>14.813651551287467</v>
      </c>
      <c r="I158" s="336">
        <f>1.5*I34*H158</f>
        <v>742.0803871663812</v>
      </c>
      <c r="J158" s="336">
        <f>I158*J152/1000</f>
        <v>18552.009679159528</v>
      </c>
      <c r="K158" s="377">
        <f>M12</f>
        <v>1540</v>
      </c>
      <c r="L158" s="339">
        <f>(K158*L149)/1000</f>
        <v>77</v>
      </c>
      <c r="M158" s="325"/>
    </row>
    <row r="159" spans="1:13" s="328" customFormat="1" ht="16.5">
      <c r="A159" s="336">
        <v>4</v>
      </c>
      <c r="B159" s="343">
        <v>250</v>
      </c>
      <c r="C159" s="344" t="s">
        <v>116</v>
      </c>
      <c r="D159" s="365">
        <f>I129</f>
        <v>7.363014870622362</v>
      </c>
      <c r="E159" s="336">
        <f>1.5*G34*D159</f>
        <v>179.56070266985978</v>
      </c>
      <c r="F159" s="336">
        <f>E159*$G$17/1000</f>
        <v>4489.017566746495</v>
      </c>
      <c r="G159" s="336"/>
      <c r="H159" s="365">
        <f>L129</f>
        <v>9.408012987959076</v>
      </c>
      <c r="I159" s="336">
        <f>1.5*I34*H159</f>
        <v>471.2883853383365</v>
      </c>
      <c r="J159" s="336">
        <f>I159*J152/1000</f>
        <v>11782.209633458413</v>
      </c>
      <c r="K159" s="339">
        <f aca="true" t="shared" si="30" ref="K159:K169">M13</f>
        <v>2005</v>
      </c>
      <c r="L159" s="336">
        <f>(K159*G13/1000)</f>
        <v>100.25</v>
      </c>
      <c r="M159" s="325"/>
    </row>
    <row r="160" spans="1:13" s="328" customFormat="1" ht="16.5">
      <c r="A160" s="336">
        <v>5</v>
      </c>
      <c r="B160" s="343">
        <v>300</v>
      </c>
      <c r="C160" s="344" t="s">
        <v>116</v>
      </c>
      <c r="D160" s="365">
        <f aca="true" t="shared" si="31" ref="D160:D169">I130</f>
        <v>6.9174469864533865</v>
      </c>
      <c r="E160" s="336">
        <f>1.5*G34*D160</f>
        <v>168.6947077242674</v>
      </c>
      <c r="F160" s="336">
        <f aca="true" t="shared" si="32" ref="F160:F169">E160*$G$17/1000</f>
        <v>4217.367693106685</v>
      </c>
      <c r="G160" s="336"/>
      <c r="H160" s="365">
        <f aca="true" t="shared" si="33" ref="H160:H169">L130</f>
        <v>7.768254113084988</v>
      </c>
      <c r="I160" s="336">
        <f>1.5*I34*H160</f>
        <v>389.145714673161</v>
      </c>
      <c r="J160" s="336">
        <f>I160*J152/1000</f>
        <v>9728.642866829026</v>
      </c>
      <c r="K160" s="339">
        <f t="shared" si="30"/>
        <v>2543</v>
      </c>
      <c r="L160" s="336">
        <f>K160*G13/1000</f>
        <v>127.15</v>
      </c>
      <c r="M160" s="325"/>
    </row>
    <row r="161" spans="1:13" s="328" customFormat="1" ht="16.5">
      <c r="A161" s="336">
        <v>6</v>
      </c>
      <c r="B161" s="343">
        <v>350</v>
      </c>
      <c r="C161" s="344" t="s">
        <v>116</v>
      </c>
      <c r="D161" s="365">
        <f t="shared" si="31"/>
        <v>6.751236685399863</v>
      </c>
      <c r="E161" s="336">
        <f>1.5*G34*D161</f>
        <v>164.64136286858644</v>
      </c>
      <c r="F161" s="336">
        <f t="shared" si="32"/>
        <v>4116.034071714661</v>
      </c>
      <c r="G161" s="336"/>
      <c r="H161" s="365">
        <f t="shared" si="33"/>
        <v>7.156574443316305</v>
      </c>
      <c r="I161" s="336">
        <f>1.5*I34*H161</f>
        <v>358.50401336189327</v>
      </c>
      <c r="J161" s="336">
        <f>I161*J152/1000</f>
        <v>8962.600334047333</v>
      </c>
      <c r="K161" s="339">
        <f t="shared" si="30"/>
        <v>3197</v>
      </c>
      <c r="L161" s="336">
        <f>K161*G13/1000</f>
        <v>159.85</v>
      </c>
      <c r="M161" s="325"/>
    </row>
    <row r="162" spans="1:13" s="328" customFormat="1" ht="16.5">
      <c r="A162" s="336">
        <v>7</v>
      </c>
      <c r="B162" s="343">
        <v>400</v>
      </c>
      <c r="C162" s="344" t="s">
        <v>116</v>
      </c>
      <c r="D162" s="365">
        <f t="shared" si="31"/>
        <v>6.679563867514522</v>
      </c>
      <c r="E162" s="336">
        <f>1.5*G34*D162</f>
        <v>162.8934889653068</v>
      </c>
      <c r="F162" s="336">
        <f t="shared" si="32"/>
        <v>4072.33722413267</v>
      </c>
      <c r="G162" s="336"/>
      <c r="H162" s="365">
        <f t="shared" si="33"/>
        <v>6.892807364515468</v>
      </c>
      <c r="I162" s="336">
        <f>1.5*I34*H162</f>
        <v>345.290770477072</v>
      </c>
      <c r="J162" s="336">
        <f>I162*J152/1000</f>
        <v>8632.2692619268</v>
      </c>
      <c r="K162" s="339">
        <f t="shared" si="30"/>
        <v>3833</v>
      </c>
      <c r="L162" s="336">
        <f>K161*G13/1000</f>
        <v>159.85</v>
      </c>
      <c r="M162" s="325"/>
    </row>
    <row r="163" spans="1:13" s="328" customFormat="1" ht="16.5">
      <c r="A163" s="336">
        <v>8</v>
      </c>
      <c r="B163" s="343">
        <v>450</v>
      </c>
      <c r="C163" s="344" t="s">
        <v>116</v>
      </c>
      <c r="D163" s="365">
        <f t="shared" si="31"/>
        <v>6.645151507255313</v>
      </c>
      <c r="E163" s="336">
        <f>1.5*G34*D163</f>
        <v>162.05428006823857</v>
      </c>
      <c r="F163" s="336">
        <f t="shared" si="32"/>
        <v>4051.357001705964</v>
      </c>
      <c r="G163" s="336"/>
      <c r="H163" s="365">
        <f t="shared" si="33"/>
        <v>6.766164544991688</v>
      </c>
      <c r="I163" s="336">
        <f>1.5*I34*H163</f>
        <v>338.94667954050067</v>
      </c>
      <c r="J163" s="336">
        <f>I163*J152/1000</f>
        <v>8473.666988512516</v>
      </c>
      <c r="K163" s="339">
        <f t="shared" si="30"/>
        <v>4547</v>
      </c>
      <c r="L163" s="336">
        <f>K163*G13/1000</f>
        <v>227.35</v>
      </c>
      <c r="M163" s="325"/>
    </row>
    <row r="164" spans="1:13" s="328" customFormat="1" ht="16.5">
      <c r="A164" s="336">
        <v>9</v>
      </c>
      <c r="B164" s="343">
        <v>500</v>
      </c>
      <c r="C164" s="344" t="s">
        <v>116</v>
      </c>
      <c r="D164" s="365">
        <f t="shared" si="31"/>
        <v>6.627200614971058</v>
      </c>
      <c r="E164" s="336">
        <f>1.5*G34*D164</f>
        <v>161.61651443979034</v>
      </c>
      <c r="F164" s="336">
        <f t="shared" si="32"/>
        <v>4040.4128609947584</v>
      </c>
      <c r="G164" s="336"/>
      <c r="H164" s="365">
        <f t="shared" si="33"/>
        <v>6.700102479073463</v>
      </c>
      <c r="I164" s="336">
        <f>1.5*I34*H164</f>
        <v>335.6373426572967</v>
      </c>
      <c r="J164" s="336">
        <f>I164*J152/1000</f>
        <v>8390.933566432419</v>
      </c>
      <c r="K164" s="339">
        <f t="shared" si="30"/>
        <v>5325</v>
      </c>
      <c r="L164" s="336">
        <f>K164*G13/1000</f>
        <v>266.25</v>
      </c>
      <c r="M164" s="325"/>
    </row>
    <row r="165" spans="1:13" s="328" customFormat="1" ht="16.5">
      <c r="A165" s="336">
        <v>10</v>
      </c>
      <c r="B165" s="343">
        <v>600</v>
      </c>
      <c r="C165" s="344" t="s">
        <v>116</v>
      </c>
      <c r="D165" s="365">
        <f t="shared" si="31"/>
        <v>6.61131662512055</v>
      </c>
      <c r="E165" s="336">
        <f>1.5*G34*D165</f>
        <v>161.22915404070466</v>
      </c>
      <c r="F165" s="336">
        <f t="shared" si="32"/>
        <v>4030.7288510176163</v>
      </c>
      <c r="G165" s="336"/>
      <c r="H165" s="365">
        <f t="shared" si="33"/>
        <v>6.641646934472538</v>
      </c>
      <c r="I165" s="336">
        <f>1.5*I34*H165</f>
        <v>332.70904958794165</v>
      </c>
      <c r="J165" s="336">
        <f>I165*J152/1000</f>
        <v>8317.72623969854</v>
      </c>
      <c r="K165" s="339">
        <f t="shared" si="30"/>
        <v>7015</v>
      </c>
      <c r="L165" s="336">
        <f>K165*G13/1000</f>
        <v>350.75</v>
      </c>
      <c r="M165" s="325"/>
    </row>
    <row r="166" spans="1:13" s="328" customFormat="1" ht="16.5">
      <c r="A166" s="336">
        <v>11</v>
      </c>
      <c r="B166" s="343">
        <v>700</v>
      </c>
      <c r="C166" s="344" t="s">
        <v>116</v>
      </c>
      <c r="D166" s="365">
        <f t="shared" si="31"/>
        <v>6.605391416350381</v>
      </c>
      <c r="E166" s="336">
        <f>1.5*G34*D166</f>
        <v>161.08465689260268</v>
      </c>
      <c r="F166" s="336">
        <f t="shared" si="32"/>
        <v>4027.116422315067</v>
      </c>
      <c r="G166" s="336"/>
      <c r="H166" s="365">
        <f t="shared" si="33"/>
        <v>6.619841247816085</v>
      </c>
      <c r="I166" s="336">
        <f>1.5*I34*H166</f>
        <v>331.61670768018</v>
      </c>
      <c r="J166" s="336">
        <f>I166*J152/1000</f>
        <v>8290.4176920045</v>
      </c>
      <c r="K166" s="339">
        <f t="shared" si="30"/>
        <v>9622</v>
      </c>
      <c r="L166" s="336">
        <f>K166*G13/1000</f>
        <v>481.1</v>
      </c>
      <c r="M166" s="325"/>
    </row>
    <row r="167" spans="1:13" s="328" customFormat="1" ht="16.5">
      <c r="A167" s="336">
        <v>12</v>
      </c>
      <c r="B167" s="343">
        <v>800</v>
      </c>
      <c r="C167" s="344" t="s">
        <v>116</v>
      </c>
      <c r="D167" s="365">
        <f t="shared" si="31"/>
        <v>6.60283636166108</v>
      </c>
      <c r="E167" s="336">
        <f>1.5*G34*D167</f>
        <v>161.0223471698285</v>
      </c>
      <c r="F167" s="336">
        <f t="shared" si="32"/>
        <v>4025.558679245712</v>
      </c>
      <c r="G167" s="336"/>
      <c r="H167" s="365">
        <f t="shared" si="33"/>
        <v>6.610438250536816</v>
      </c>
      <c r="I167" s="336">
        <f>1.5*I34*H167</f>
        <v>331.1456705535562</v>
      </c>
      <c r="J167" s="336">
        <f>I167*J152/1000</f>
        <v>8278.641763838907</v>
      </c>
      <c r="K167" s="339">
        <f t="shared" si="30"/>
        <v>12550</v>
      </c>
      <c r="L167" s="336">
        <f>K167*G13/1000</f>
        <v>627.5</v>
      </c>
      <c r="M167" s="325"/>
    </row>
    <row r="168" spans="1:13" s="328" customFormat="1" ht="16.5">
      <c r="A168" s="336">
        <v>13</v>
      </c>
      <c r="B168" s="343">
        <v>900</v>
      </c>
      <c r="C168" s="344" t="s">
        <v>116</v>
      </c>
      <c r="D168" s="365">
        <f t="shared" si="31"/>
        <v>6.601609600037295</v>
      </c>
      <c r="E168" s="336">
        <f>1.5*G34*D168</f>
        <v>160.99243032420944</v>
      </c>
      <c r="F168" s="336">
        <f t="shared" si="32"/>
        <v>4024.810758105236</v>
      </c>
      <c r="G168" s="336"/>
      <c r="H168" s="365">
        <f t="shared" si="33"/>
        <v>6.605923577618442</v>
      </c>
      <c r="I168" s="336">
        <f>1.5*I34*H168</f>
        <v>330.9195109050997</v>
      </c>
      <c r="J168" s="336">
        <f>I168*J152/1000</f>
        <v>8272.987772627492</v>
      </c>
      <c r="K168" s="339">
        <f t="shared" si="30"/>
        <v>15314</v>
      </c>
      <c r="L168" s="336">
        <f>K168*G13/1000</f>
        <v>765.7</v>
      </c>
      <c r="M168" s="325"/>
    </row>
    <row r="169" spans="1:13" s="328" customFormat="1" ht="16.5">
      <c r="A169" s="336">
        <v>14</v>
      </c>
      <c r="B169" s="343">
        <v>1000</v>
      </c>
      <c r="C169" s="344" t="s">
        <v>116</v>
      </c>
      <c r="D169" s="365">
        <f t="shared" si="31"/>
        <v>6.600969671081503</v>
      </c>
      <c r="E169" s="336">
        <f>1.5*G34*D169</f>
        <v>160.97682447592857</v>
      </c>
      <c r="F169" s="336">
        <f t="shared" si="32"/>
        <v>4024.4206118982142</v>
      </c>
      <c r="G169" s="366"/>
      <c r="H169" s="365">
        <f t="shared" si="33"/>
        <v>6.603568539874853</v>
      </c>
      <c r="I169" s="336">
        <f>1.5*I34*H169</f>
        <v>330.8015367976014</v>
      </c>
      <c r="J169" s="336">
        <f>I169*J152/1000</f>
        <v>8270.038419940034</v>
      </c>
      <c r="K169" s="339">
        <f t="shared" si="30"/>
        <v>18354</v>
      </c>
      <c r="L169" s="336">
        <f>K169*G13/1000</f>
        <v>917.7</v>
      </c>
      <c r="M169" s="325"/>
    </row>
    <row r="170" spans="1:13" s="328" customFormat="1" ht="16.5">
      <c r="A170" s="378"/>
      <c r="B170" s="379"/>
      <c r="C170" s="335"/>
      <c r="D170" s="335"/>
      <c r="E170" s="335"/>
      <c r="F170" s="335"/>
      <c r="G170" s="335"/>
      <c r="H170" s="335"/>
      <c r="I170" s="335"/>
      <c r="J170" s="335"/>
      <c r="K170" s="335"/>
      <c r="L170" s="335"/>
      <c r="M170" s="325"/>
    </row>
    <row r="171" spans="1:13" s="328" customFormat="1" ht="16.5">
      <c r="A171" s="378"/>
      <c r="B171" s="379"/>
      <c r="C171" s="335"/>
      <c r="D171" s="335"/>
      <c r="E171" s="335"/>
      <c r="F171" s="335"/>
      <c r="G171" s="335"/>
      <c r="H171" s="335"/>
      <c r="I171" s="335"/>
      <c r="J171" s="335"/>
      <c r="K171" s="335"/>
      <c r="L171" s="335"/>
      <c r="M171" s="325"/>
    </row>
    <row r="172" spans="1:13" s="328" customFormat="1" ht="16.5">
      <c r="A172" s="378"/>
      <c r="B172" s="379"/>
      <c r="C172" s="335"/>
      <c r="D172" s="335"/>
      <c r="E172" s="335"/>
      <c r="F172" s="335"/>
      <c r="G172" s="335"/>
      <c r="H172" s="335"/>
      <c r="I172" s="335"/>
      <c r="J172" s="335"/>
      <c r="K172" s="335"/>
      <c r="L172" s="335"/>
      <c r="M172" s="325"/>
    </row>
    <row r="173" spans="1:13" s="328" customFormat="1" ht="16.5">
      <c r="A173" s="380" t="s">
        <v>235</v>
      </c>
      <c r="B173" s="381"/>
      <c r="C173" s="381"/>
      <c r="D173" s="381"/>
      <c r="E173" s="381"/>
      <c r="F173" s="381"/>
      <c r="G173" s="381"/>
      <c r="H173" s="381"/>
      <c r="I173" s="381"/>
      <c r="J173" s="381"/>
      <c r="K173" s="381"/>
      <c r="L173" s="381"/>
      <c r="M173" s="325"/>
    </row>
    <row r="174" spans="1:13" s="328" customFormat="1" ht="16.5">
      <c r="A174" s="335" t="s">
        <v>168</v>
      </c>
      <c r="B174" s="335" t="s">
        <v>168</v>
      </c>
      <c r="C174" s="335" t="s">
        <v>168</v>
      </c>
      <c r="D174" s="335" t="s">
        <v>168</v>
      </c>
      <c r="E174" s="335" t="s">
        <v>168</v>
      </c>
      <c r="F174" s="335" t="s">
        <v>168</v>
      </c>
      <c r="G174" s="335" t="s">
        <v>168</v>
      </c>
      <c r="H174" s="335" t="s">
        <v>168</v>
      </c>
      <c r="I174" s="335" t="s">
        <v>168</v>
      </c>
      <c r="J174" s="335" t="s">
        <v>168</v>
      </c>
      <c r="K174" s="335" t="s">
        <v>168</v>
      </c>
      <c r="L174" s="335" t="s">
        <v>168</v>
      </c>
      <c r="M174" s="325"/>
    </row>
    <row r="175" spans="1:13" s="328" customFormat="1" ht="16.5">
      <c r="A175" s="336"/>
      <c r="B175" s="337" t="s">
        <v>236</v>
      </c>
      <c r="C175" s="336"/>
      <c r="D175" s="365">
        <f>G32</f>
        <v>61.33929647698676</v>
      </c>
      <c r="E175" s="337" t="s">
        <v>103</v>
      </c>
      <c r="F175" s="337" t="s">
        <v>237</v>
      </c>
      <c r="G175" s="336"/>
      <c r="H175" s="365">
        <f>I32</f>
        <v>163.55</v>
      </c>
      <c r="I175" s="337" t="s">
        <v>103</v>
      </c>
      <c r="J175" s="336"/>
      <c r="K175" s="336"/>
      <c r="L175" s="336"/>
      <c r="M175" s="325"/>
    </row>
    <row r="176" spans="1:13" s="328" customFormat="1" ht="16.5">
      <c r="A176" s="336"/>
      <c r="B176" s="337" t="s">
        <v>181</v>
      </c>
      <c r="C176" s="337" t="s">
        <v>104</v>
      </c>
      <c r="D176" s="337" t="s">
        <v>104</v>
      </c>
      <c r="E176" s="337" t="s">
        <v>104</v>
      </c>
      <c r="F176" s="337" t="s">
        <v>181</v>
      </c>
      <c r="G176" s="337" t="s">
        <v>104</v>
      </c>
      <c r="H176" s="337" t="s">
        <v>104</v>
      </c>
      <c r="I176" s="337" t="s">
        <v>104</v>
      </c>
      <c r="J176" s="382"/>
      <c r="K176" s="336"/>
      <c r="L176" s="337" t="s">
        <v>238</v>
      </c>
      <c r="M176" s="325"/>
    </row>
    <row r="177" spans="1:13" s="328" customFormat="1" ht="16.5">
      <c r="A177" s="336"/>
      <c r="B177" s="336"/>
      <c r="C177" s="336"/>
      <c r="D177" s="336"/>
      <c r="E177" s="336"/>
      <c r="F177" s="336"/>
      <c r="G177" s="336"/>
      <c r="H177" s="336"/>
      <c r="I177" s="336"/>
      <c r="J177" s="382"/>
      <c r="K177" s="336"/>
      <c r="L177" s="337" t="s">
        <v>239</v>
      </c>
      <c r="M177" s="325"/>
    </row>
    <row r="178" spans="1:13" s="328" customFormat="1" ht="16.5">
      <c r="A178" s="336"/>
      <c r="B178" s="336"/>
      <c r="C178" s="336"/>
      <c r="D178" s="336"/>
      <c r="E178" s="336"/>
      <c r="F178" s="336"/>
      <c r="G178" s="336"/>
      <c r="H178" s="336"/>
      <c r="I178" s="336"/>
      <c r="J178" s="382"/>
      <c r="K178" s="336"/>
      <c r="L178" s="337" t="s">
        <v>240</v>
      </c>
      <c r="M178" s="325"/>
    </row>
    <row r="179" spans="1:13" s="328" customFormat="1" ht="16.5">
      <c r="A179" s="336"/>
      <c r="B179" s="337" t="s">
        <v>241</v>
      </c>
      <c r="C179" s="374" t="s">
        <v>242</v>
      </c>
      <c r="D179" s="337" t="s">
        <v>243</v>
      </c>
      <c r="E179" s="337" t="s">
        <v>243</v>
      </c>
      <c r="F179" s="337" t="s">
        <v>241</v>
      </c>
      <c r="G179" s="374" t="s">
        <v>242</v>
      </c>
      <c r="H179" s="337" t="s">
        <v>243</v>
      </c>
      <c r="I179" s="337" t="s">
        <v>243</v>
      </c>
      <c r="J179" s="337" t="s">
        <v>244</v>
      </c>
      <c r="K179" s="339" t="s">
        <v>212</v>
      </c>
      <c r="L179" s="337" t="s">
        <v>243</v>
      </c>
      <c r="M179" s="325"/>
    </row>
    <row r="180" spans="1:13" s="328" customFormat="1" ht="16.5">
      <c r="A180" s="336"/>
      <c r="B180" s="337" t="s">
        <v>240</v>
      </c>
      <c r="C180" s="339" t="s">
        <v>245</v>
      </c>
      <c r="D180" s="337" t="s">
        <v>246</v>
      </c>
      <c r="E180" s="337" t="s">
        <v>246</v>
      </c>
      <c r="F180" s="337" t="s">
        <v>240</v>
      </c>
      <c r="G180" s="339" t="s">
        <v>245</v>
      </c>
      <c r="H180" s="337" t="s">
        <v>246</v>
      </c>
      <c r="I180" s="337" t="s">
        <v>246</v>
      </c>
      <c r="J180" s="357" t="s">
        <v>247</v>
      </c>
      <c r="K180" s="339" t="s">
        <v>248</v>
      </c>
      <c r="L180" s="337" t="s">
        <v>246</v>
      </c>
      <c r="M180" s="325"/>
    </row>
    <row r="181" spans="1:12" s="328" customFormat="1" ht="16.5">
      <c r="A181" s="339" t="s">
        <v>171</v>
      </c>
      <c r="B181" s="337" t="s">
        <v>249</v>
      </c>
      <c r="C181" s="339" t="s">
        <v>250</v>
      </c>
      <c r="D181" s="337" t="s">
        <v>251</v>
      </c>
      <c r="E181" s="337" t="s">
        <v>193</v>
      </c>
      <c r="F181" s="337" t="s">
        <v>249</v>
      </c>
      <c r="G181" s="339" t="s">
        <v>250</v>
      </c>
      <c r="H181" s="337" t="s">
        <v>251</v>
      </c>
      <c r="I181" s="337" t="s">
        <v>193</v>
      </c>
      <c r="J181" s="357" t="s">
        <v>252</v>
      </c>
      <c r="K181" s="339" t="s">
        <v>253</v>
      </c>
      <c r="L181" s="337" t="s">
        <v>254</v>
      </c>
    </row>
    <row r="182" spans="1:13" s="328" customFormat="1" ht="16.5">
      <c r="A182" s="339" t="s">
        <v>177</v>
      </c>
      <c r="B182" s="337" t="s">
        <v>255</v>
      </c>
      <c r="C182" s="336"/>
      <c r="D182" s="337" t="s">
        <v>256</v>
      </c>
      <c r="E182" s="337" t="s">
        <v>241</v>
      </c>
      <c r="F182" s="337" t="s">
        <v>255</v>
      </c>
      <c r="G182" s="336"/>
      <c r="H182" s="337" t="s">
        <v>256</v>
      </c>
      <c r="I182" s="337" t="s">
        <v>241</v>
      </c>
      <c r="J182" s="357" t="s">
        <v>257</v>
      </c>
      <c r="K182" s="337" t="s">
        <v>258</v>
      </c>
      <c r="L182" s="374" t="s">
        <v>259</v>
      </c>
      <c r="M182" s="325"/>
    </row>
    <row r="183" spans="1:13" s="328" customFormat="1" ht="16.5">
      <c r="A183" s="339"/>
      <c r="B183" s="337"/>
      <c r="C183" s="336"/>
      <c r="D183" s="337"/>
      <c r="E183" s="337"/>
      <c r="F183" s="337"/>
      <c r="G183" s="336"/>
      <c r="H183" s="337"/>
      <c r="I183" s="337"/>
      <c r="J183" s="357" t="s">
        <v>260</v>
      </c>
      <c r="K183" s="337"/>
      <c r="L183" s="374"/>
      <c r="M183" s="325"/>
    </row>
    <row r="184" spans="1:13" s="328" customFormat="1" ht="16.5">
      <c r="A184" s="339" t="s">
        <v>88</v>
      </c>
      <c r="B184" s="339" t="s">
        <v>88</v>
      </c>
      <c r="C184" s="339" t="s">
        <v>88</v>
      </c>
      <c r="D184" s="339" t="s">
        <v>88</v>
      </c>
      <c r="E184" s="339" t="s">
        <v>88</v>
      </c>
      <c r="F184" s="339" t="s">
        <v>88</v>
      </c>
      <c r="G184" s="339" t="s">
        <v>88</v>
      </c>
      <c r="H184" s="339" t="s">
        <v>88</v>
      </c>
      <c r="I184" s="336"/>
      <c r="J184" s="357" t="s">
        <v>261</v>
      </c>
      <c r="K184" s="336"/>
      <c r="L184" s="374" t="s">
        <v>262</v>
      </c>
      <c r="M184" s="325"/>
    </row>
    <row r="185" spans="1:13" s="328" customFormat="1" ht="16.5">
      <c r="A185" s="339" t="s">
        <v>88</v>
      </c>
      <c r="B185" s="337" t="s">
        <v>263</v>
      </c>
      <c r="C185" s="337" t="s">
        <v>263</v>
      </c>
      <c r="D185" s="337" t="s">
        <v>263</v>
      </c>
      <c r="E185" s="337" t="s">
        <v>263</v>
      </c>
      <c r="F185" s="337" t="s">
        <v>263</v>
      </c>
      <c r="G185" s="337" t="s">
        <v>263</v>
      </c>
      <c r="H185" s="337" t="s">
        <v>263</v>
      </c>
      <c r="I185" s="374" t="s">
        <v>264</v>
      </c>
      <c r="J185" s="374" t="s">
        <v>264</v>
      </c>
      <c r="K185" s="336"/>
      <c r="L185" s="374" t="s">
        <v>264</v>
      </c>
      <c r="M185" s="325" t="s">
        <v>311</v>
      </c>
    </row>
    <row r="186" spans="1:13" s="328" customFormat="1" ht="16.5">
      <c r="A186" s="336">
        <v>1</v>
      </c>
      <c r="B186" s="339">
        <f>F156</f>
        <v>42193.64584938952</v>
      </c>
      <c r="C186" s="337">
        <f>(G37*I126)/1000</f>
        <v>25714.422518711377</v>
      </c>
      <c r="D186" s="336">
        <f>C186*G25</f>
        <v>195585.94213612497</v>
      </c>
      <c r="E186" s="336">
        <f aca="true" t="shared" si="34" ref="E186:E199">B186+D186</f>
        <v>237779.5879855145</v>
      </c>
      <c r="F186" s="336">
        <f>J156</f>
        <v>296814.4481980756</v>
      </c>
      <c r="G186" s="337">
        <f>(I37*L126)/1000</f>
        <v>234797.41306936098</v>
      </c>
      <c r="H186" s="336">
        <f>G186*G25</f>
        <v>1785887.7916810866</v>
      </c>
      <c r="I186" s="336">
        <f>F186+H186</f>
        <v>2082702.2398791623</v>
      </c>
      <c r="J186" s="383">
        <f>(F186+H186)/G26</f>
        <v>498582.3574304196</v>
      </c>
      <c r="K186" s="336">
        <v>100</v>
      </c>
      <c r="L186" s="336">
        <f>L156+E186+J186</f>
        <v>736407.8454159341</v>
      </c>
      <c r="M186" s="325">
        <f>K186</f>
        <v>100</v>
      </c>
    </row>
    <row r="187" spans="1:13" s="328" customFormat="1" ht="16.5">
      <c r="A187" s="336">
        <v>2</v>
      </c>
      <c r="B187" s="339">
        <f aca="true" t="shared" si="35" ref="B187:B199">F157</f>
        <v>9452.84535054917</v>
      </c>
      <c r="C187" s="337">
        <f>(G37*I127)/1000</f>
        <v>5760.925714163539</v>
      </c>
      <c r="D187" s="336">
        <f>C187*G25</f>
        <v>43818.059011864185</v>
      </c>
      <c r="E187" s="336">
        <f t="shared" si="34"/>
        <v>53270.904362413356</v>
      </c>
      <c r="F187" s="336">
        <f aca="true" t="shared" si="36" ref="F187:F194">J157</f>
        <v>49306.8056713892</v>
      </c>
      <c r="G187" s="337">
        <f>(I37*L127)/1000</f>
        <v>39004.53798202584</v>
      </c>
      <c r="H187" s="336">
        <f>G187*G25</f>
        <v>296671.616998113</v>
      </c>
      <c r="I187" s="336">
        <f aca="true" t="shared" si="37" ref="I187:I199">F187+H187</f>
        <v>345978.4226695022</v>
      </c>
      <c r="J187" s="383">
        <f>(F187+H187)/G26</f>
        <v>82824.48364036276</v>
      </c>
      <c r="K187" s="336">
        <v>150</v>
      </c>
      <c r="L187" s="336">
        <f aca="true" t="shared" si="38" ref="L187:L199">L157+E187+J187</f>
        <v>136165.1380027761</v>
      </c>
      <c r="M187" s="325">
        <f aca="true" t="shared" si="39" ref="M187:M199">K187</f>
        <v>150</v>
      </c>
    </row>
    <row r="188" spans="1:13" s="328" customFormat="1" ht="16.5">
      <c r="A188" s="336">
        <v>3</v>
      </c>
      <c r="B188" s="339">
        <f t="shared" si="35"/>
        <v>5384.540106780555</v>
      </c>
      <c r="C188" s="337">
        <f>(G37*I128)/1000</f>
        <v>3281.544805797004</v>
      </c>
      <c r="D188" s="336">
        <f>C188*G25</f>
        <v>24959.690696405258</v>
      </c>
      <c r="E188" s="336">
        <f t="shared" si="34"/>
        <v>30344.230803185812</v>
      </c>
      <c r="F188" s="336">
        <f t="shared" si="36"/>
        <v>18552.009679159528</v>
      </c>
      <c r="G188" s="337">
        <f>(I37*L128)/1000</f>
        <v>14675.713754330123</v>
      </c>
      <c r="H188" s="336">
        <f>G188*G25</f>
        <v>111624.64562725816</v>
      </c>
      <c r="I188" s="336">
        <f t="shared" si="37"/>
        <v>130176.65530641768</v>
      </c>
      <c r="J188" s="383">
        <f>(F188+H188)/G26</f>
        <v>31163.256293826507</v>
      </c>
      <c r="K188" s="336">
        <v>200</v>
      </c>
      <c r="L188" s="336">
        <f t="shared" si="38"/>
        <v>61584.487097012316</v>
      </c>
      <c r="M188" s="325">
        <f t="shared" si="39"/>
        <v>200</v>
      </c>
    </row>
    <row r="189" spans="1:13" s="328" customFormat="1" ht="16.5">
      <c r="A189" s="336">
        <v>4</v>
      </c>
      <c r="B189" s="339">
        <f t="shared" si="35"/>
        <v>4489.017566746495</v>
      </c>
      <c r="C189" s="337">
        <f>(G37*I129)/1000</f>
        <v>2735.7790985228917</v>
      </c>
      <c r="D189" s="336">
        <f>C189*G25</f>
        <v>20808.553335061744</v>
      </c>
      <c r="E189" s="336">
        <f t="shared" si="34"/>
        <v>25297.570901808238</v>
      </c>
      <c r="F189" s="336">
        <f t="shared" si="36"/>
        <v>11782.209633458413</v>
      </c>
      <c r="G189" s="337">
        <f>(I37*L129)/1000</f>
        <v>9320.409969836757</v>
      </c>
      <c r="H189" s="336">
        <f>G189*G25</f>
        <v>70891.77926196753</v>
      </c>
      <c r="I189" s="336">
        <f t="shared" si="37"/>
        <v>82673.98889542595</v>
      </c>
      <c r="J189" s="383">
        <f>(F189+H189)/G26</f>
        <v>19791.495631199476</v>
      </c>
      <c r="K189" s="336">
        <v>250</v>
      </c>
      <c r="L189" s="336">
        <f t="shared" si="38"/>
        <v>45189.31653300772</v>
      </c>
      <c r="M189" s="325">
        <f t="shared" si="39"/>
        <v>250</v>
      </c>
    </row>
    <row r="190" spans="1:13" s="328" customFormat="1" ht="16.5">
      <c r="A190" s="336">
        <v>5</v>
      </c>
      <c r="B190" s="339">
        <f t="shared" si="35"/>
        <v>4217.367693106685</v>
      </c>
      <c r="C190" s="337">
        <f>(G37*I130)/1000</f>
        <v>2570.225269568107</v>
      </c>
      <c r="D190" s="336">
        <f>C190*G25</f>
        <v>19549.337749457874</v>
      </c>
      <c r="E190" s="336">
        <f t="shared" si="34"/>
        <v>23766.70544256456</v>
      </c>
      <c r="F190" s="336">
        <f t="shared" si="36"/>
        <v>9728.642866829026</v>
      </c>
      <c r="G190" s="337">
        <f>(I37*L130)/1000</f>
        <v>7695.919762917919</v>
      </c>
      <c r="H190" s="336">
        <f>G190*G25</f>
        <v>58535.77759092352</v>
      </c>
      <c r="I190" s="336">
        <f t="shared" si="37"/>
        <v>68264.42045775255</v>
      </c>
      <c r="J190" s="383">
        <f>(F190+H190)/G26</f>
        <v>16341.959512379626</v>
      </c>
      <c r="K190" s="336">
        <v>300</v>
      </c>
      <c r="L190" s="336">
        <f t="shared" si="38"/>
        <v>40235.81495494419</v>
      </c>
      <c r="M190" s="325">
        <f t="shared" si="39"/>
        <v>300</v>
      </c>
    </row>
    <row r="191" spans="1:13" s="328" customFormat="1" ht="16.5">
      <c r="A191" s="336">
        <v>6</v>
      </c>
      <c r="B191" s="339">
        <f t="shared" si="35"/>
        <v>4116.034071714661</v>
      </c>
      <c r="C191" s="337">
        <f>(G37*I131)/1000</f>
        <v>2508.468682684697</v>
      </c>
      <c r="D191" s="336">
        <f>C191*G25</f>
        <v>19079.612239584418</v>
      </c>
      <c r="E191" s="336">
        <f t="shared" si="34"/>
        <v>23195.64631129908</v>
      </c>
      <c r="F191" s="336">
        <f t="shared" si="36"/>
        <v>8962.600334047333</v>
      </c>
      <c r="G191" s="337">
        <f>(I37*L131)/1000</f>
        <v>7089.93576823646</v>
      </c>
      <c r="H191" s="336">
        <f>G191*G25</f>
        <v>53926.615147826</v>
      </c>
      <c r="I191" s="336">
        <f t="shared" si="37"/>
        <v>62889.21548187333</v>
      </c>
      <c r="J191" s="383">
        <f>(F191+H191)/G26</f>
        <v>15055.178177424576</v>
      </c>
      <c r="K191" s="336">
        <v>350</v>
      </c>
      <c r="L191" s="336">
        <f t="shared" si="38"/>
        <v>38410.67448872366</v>
      </c>
      <c r="M191" s="325">
        <f t="shared" si="39"/>
        <v>350</v>
      </c>
    </row>
    <row r="192" spans="1:13" s="328" customFormat="1" ht="16.5">
      <c r="A192" s="325">
        <v>7</v>
      </c>
      <c r="B192" s="339">
        <f t="shared" si="35"/>
        <v>4072.33722413267</v>
      </c>
      <c r="C192" s="337">
        <f>(G37*I132)/1000</f>
        <v>2481.838151503062</v>
      </c>
      <c r="D192" s="336">
        <f>C192*G25</f>
        <v>18877.058302121677</v>
      </c>
      <c r="E192" s="336">
        <f t="shared" si="34"/>
        <v>22949.395526254346</v>
      </c>
      <c r="F192" s="336">
        <f t="shared" si="36"/>
        <v>8632.2692619268</v>
      </c>
      <c r="G192" s="337">
        <f>(I37*L132)/1000</f>
        <v>6828.624765146173</v>
      </c>
      <c r="H192" s="336">
        <f>G192*G25</f>
        <v>51939.06288244808</v>
      </c>
      <c r="I192" s="336">
        <f t="shared" si="37"/>
        <v>60571.33214437488</v>
      </c>
      <c r="J192" s="383">
        <f>(F192+H192)/G26</f>
        <v>14500.295335062185</v>
      </c>
      <c r="K192" s="336">
        <v>400</v>
      </c>
      <c r="L192" s="336">
        <f t="shared" si="38"/>
        <v>37609.54086131653</v>
      </c>
      <c r="M192" s="325">
        <f t="shared" si="39"/>
        <v>400</v>
      </c>
    </row>
    <row r="193" spans="1:13" s="328" customFormat="1" ht="16.5">
      <c r="A193" s="325">
        <v>8</v>
      </c>
      <c r="B193" s="339">
        <f t="shared" si="35"/>
        <v>4051.357001705964</v>
      </c>
      <c r="C193" s="337">
        <f>(G37*I133)/1000</f>
        <v>2469.0520010494465</v>
      </c>
      <c r="D193" s="336">
        <f>C193*G25</f>
        <v>18779.80582519186</v>
      </c>
      <c r="E193" s="336">
        <f t="shared" si="34"/>
        <v>22831.162826897824</v>
      </c>
      <c r="F193" s="336">
        <f t="shared" si="36"/>
        <v>8473.666988512516</v>
      </c>
      <c r="G193" s="337">
        <f>(I37*L133)/1000</f>
        <v>6703.161184344533</v>
      </c>
      <c r="H193" s="336">
        <f>G193*G25</f>
        <v>50984.776911724664</v>
      </c>
      <c r="I193" s="336">
        <f t="shared" si="37"/>
        <v>59458.44390023718</v>
      </c>
      <c r="J193" s="383">
        <f>(F193+H193)/G26</f>
        <v>14233.87873757921</v>
      </c>
      <c r="K193" s="336">
        <v>450</v>
      </c>
      <c r="L193" s="336">
        <f t="shared" si="38"/>
        <v>37292.39156447703</v>
      </c>
      <c r="M193" s="325">
        <f t="shared" si="39"/>
        <v>450</v>
      </c>
    </row>
    <row r="194" spans="1:13" s="328" customFormat="1" ht="16.5">
      <c r="A194" s="325">
        <v>9</v>
      </c>
      <c r="B194" s="339">
        <f t="shared" si="35"/>
        <v>4040.4128609947584</v>
      </c>
      <c r="C194" s="337">
        <f>(G37*I134)/1000</f>
        <v>2462.3822228710756</v>
      </c>
      <c r="D194" s="336">
        <f>C194*G25</f>
        <v>18729.074962077728</v>
      </c>
      <c r="E194" s="336">
        <f t="shared" si="34"/>
        <v>22769.487823072486</v>
      </c>
      <c r="F194" s="336">
        <f t="shared" si="36"/>
        <v>8390.933566432419</v>
      </c>
      <c r="G194" s="337">
        <f>(I37*L134)/1000</f>
        <v>6637.714257496083</v>
      </c>
      <c r="H194" s="336">
        <f>G194*G25</f>
        <v>50486.982382671806</v>
      </c>
      <c r="I194" s="336">
        <f t="shared" si="37"/>
        <v>58877.91594910422</v>
      </c>
      <c r="J194" s="383">
        <f>(F194+H194)/G26</f>
        <v>14094.90496164141</v>
      </c>
      <c r="K194" s="336">
        <v>500</v>
      </c>
      <c r="L194" s="336">
        <f t="shared" si="38"/>
        <v>37130.6427847139</v>
      </c>
      <c r="M194" s="325">
        <f t="shared" si="39"/>
        <v>500</v>
      </c>
    </row>
    <row r="195" spans="1:13" s="328" customFormat="1" ht="16.5">
      <c r="A195" s="325">
        <v>10</v>
      </c>
      <c r="B195" s="339">
        <f t="shared" si="35"/>
        <v>4030.7288510176163</v>
      </c>
      <c r="C195" s="337">
        <f>(G37*I135)/1000</f>
        <v>2456.480416586866</v>
      </c>
      <c r="D195" s="336">
        <f>C195*G25</f>
        <v>18684.1853542492</v>
      </c>
      <c r="E195" s="336">
        <f t="shared" si="34"/>
        <v>22714.914205266814</v>
      </c>
      <c r="F195" s="336">
        <f>J165</f>
        <v>8317.72623969854</v>
      </c>
      <c r="G195" s="337">
        <f>(I37*L135)/1000</f>
        <v>6579.803023594938</v>
      </c>
      <c r="H195" s="336">
        <f>G195*G25</f>
        <v>50046.504933311284</v>
      </c>
      <c r="I195" s="336">
        <f t="shared" si="37"/>
        <v>58364.23117300982</v>
      </c>
      <c r="J195" s="383">
        <f>(F195+H195)/G26</f>
        <v>13971.932910362433</v>
      </c>
      <c r="K195" s="336">
        <v>600</v>
      </c>
      <c r="L195" s="336">
        <f t="shared" si="38"/>
        <v>37037.59711562925</v>
      </c>
      <c r="M195" s="325">
        <f t="shared" si="39"/>
        <v>600</v>
      </c>
    </row>
    <row r="196" spans="1:13" s="328" customFormat="1" ht="16.5">
      <c r="A196" s="325">
        <v>11</v>
      </c>
      <c r="B196" s="339">
        <f t="shared" si="35"/>
        <v>4027.116422315067</v>
      </c>
      <c r="C196" s="337">
        <f>(G37*I136)/1000</f>
        <v>2454.278864288976</v>
      </c>
      <c r="D196" s="336">
        <f>C196*G25</f>
        <v>18667.44017243415</v>
      </c>
      <c r="E196" s="336">
        <f t="shared" si="34"/>
        <v>22694.556594749218</v>
      </c>
      <c r="F196" s="336">
        <f>J166</f>
        <v>8290.4176920045</v>
      </c>
      <c r="G196" s="337">
        <f>(I37*L136)/1000</f>
        <v>6558.200381297138</v>
      </c>
      <c r="H196" s="336">
        <f>G196*G25</f>
        <v>49882.19351844787</v>
      </c>
      <c r="I196" s="336">
        <f t="shared" si="37"/>
        <v>58172.61121045237</v>
      </c>
      <c r="J196" s="383">
        <f>(F196+H196)/G26</f>
        <v>13926.060614825763</v>
      </c>
      <c r="K196" s="336">
        <v>700</v>
      </c>
      <c r="L196" s="336">
        <f t="shared" si="38"/>
        <v>37101.71720957498</v>
      </c>
      <c r="M196" s="325">
        <f t="shared" si="39"/>
        <v>700</v>
      </c>
    </row>
    <row r="197" spans="1:13" s="328" customFormat="1" ht="16.5">
      <c r="A197" s="325">
        <v>12</v>
      </c>
      <c r="B197" s="339">
        <f t="shared" si="35"/>
        <v>4025.558679245712</v>
      </c>
      <c r="C197" s="337">
        <f>(G37*I137)/1000</f>
        <v>2453.3295160481534</v>
      </c>
      <c r="D197" s="336">
        <f>C197*G25</f>
        <v>18660.219354235283</v>
      </c>
      <c r="E197" s="336">
        <f t="shared" si="34"/>
        <v>22685.778033480994</v>
      </c>
      <c r="F197" s="336">
        <f>J167</f>
        <v>8278.641763838907</v>
      </c>
      <c r="G197" s="337">
        <f>(I37*L137)/1000</f>
        <v>6548.884940332057</v>
      </c>
      <c r="H197" s="336">
        <f>G197*G25</f>
        <v>49811.339533831146</v>
      </c>
      <c r="I197" s="336">
        <f t="shared" si="37"/>
        <v>58089.98129767005</v>
      </c>
      <c r="J197" s="383">
        <f>(F197+H197)/G26</f>
        <v>13906.279670665606</v>
      </c>
      <c r="K197" s="336">
        <v>800</v>
      </c>
      <c r="L197" s="336">
        <f t="shared" si="38"/>
        <v>37219.5577041466</v>
      </c>
      <c r="M197" s="325">
        <f t="shared" si="39"/>
        <v>800</v>
      </c>
    </row>
    <row r="198" spans="1:13" s="328" customFormat="1" ht="16.5">
      <c r="A198" s="325">
        <v>13</v>
      </c>
      <c r="B198" s="339">
        <f t="shared" si="35"/>
        <v>4024.810758105236</v>
      </c>
      <c r="C198" s="337">
        <f>(G37*I138)/1000</f>
        <v>2452.873704282431</v>
      </c>
      <c r="D198" s="336">
        <f>C198*G25</f>
        <v>18656.752413705286</v>
      </c>
      <c r="E198" s="336">
        <f t="shared" si="34"/>
        <v>22681.56317181052</v>
      </c>
      <c r="F198" s="336">
        <f>J168</f>
        <v>8272.987772627492</v>
      </c>
      <c r="G198" s="337">
        <f>(I37*L138)/1000</f>
        <v>6544.412305937012</v>
      </c>
      <c r="H198" s="336">
        <f>G198*G25</f>
        <v>49777.32032101978</v>
      </c>
      <c r="I198" s="336">
        <f t="shared" si="37"/>
        <v>58050.308093647276</v>
      </c>
      <c r="J198" s="383">
        <f>(F198+H198)/G26</f>
        <v>13896.782221049554</v>
      </c>
      <c r="K198" s="336">
        <v>900</v>
      </c>
      <c r="L198" s="336">
        <f t="shared" si="38"/>
        <v>37344.04539286008</v>
      </c>
      <c r="M198" s="325">
        <f t="shared" si="39"/>
        <v>900</v>
      </c>
    </row>
    <row r="199" spans="1:13" s="328" customFormat="1" ht="16.5">
      <c r="A199" s="325">
        <v>14</v>
      </c>
      <c r="B199" s="339">
        <f t="shared" si="35"/>
        <v>4024.4206118982142</v>
      </c>
      <c r="C199" s="337">
        <f>(G37*I139)/1000</f>
        <v>2452.635934253094</v>
      </c>
      <c r="D199" s="336">
        <f>C199*G25</f>
        <v>18654.94391595793</v>
      </c>
      <c r="E199" s="336">
        <f t="shared" si="34"/>
        <v>22679.364527856145</v>
      </c>
      <c r="F199" s="336">
        <f>J169</f>
        <v>8270.038419940034</v>
      </c>
      <c r="G199" s="337">
        <f>(I37*L139)/1000</f>
        <v>6542.079197203769</v>
      </c>
      <c r="H199" s="336">
        <f>G199*G25</f>
        <v>49759.57451049787</v>
      </c>
      <c r="I199" s="336">
        <f t="shared" si="37"/>
        <v>58029.61293043791</v>
      </c>
      <c r="J199" s="383">
        <f>(F199+H199)/G26</f>
        <v>13891.827963516835</v>
      </c>
      <c r="K199" s="336">
        <v>1000</v>
      </c>
      <c r="L199" s="336">
        <f t="shared" si="38"/>
        <v>37488.89249137298</v>
      </c>
      <c r="M199" s="325">
        <f t="shared" si="39"/>
        <v>1000</v>
      </c>
    </row>
    <row r="200" spans="1:13" s="328" customFormat="1" ht="16.5">
      <c r="A200" s="325"/>
      <c r="B200" s="325"/>
      <c r="C200" s="325"/>
      <c r="D200" s="325"/>
      <c r="E200" s="325"/>
      <c r="F200" s="325"/>
      <c r="G200" s="325"/>
      <c r="H200" s="325"/>
      <c r="I200" s="325"/>
      <c r="J200" s="325"/>
      <c r="K200" s="325"/>
      <c r="L200" s="325"/>
      <c r="M200" s="325"/>
    </row>
    <row r="201" spans="1:13" s="328" customFormat="1" ht="16.5">
      <c r="A201" s="325"/>
      <c r="B201" s="325"/>
      <c r="C201" s="325"/>
      <c r="D201" s="325"/>
      <c r="E201" s="325"/>
      <c r="F201" s="384" t="s">
        <v>279</v>
      </c>
      <c r="G201" s="384"/>
      <c r="H201" s="325">
        <f>MIN(L186:L199)</f>
        <v>37037.59711562925</v>
      </c>
      <c r="I201" s="325" t="s">
        <v>329</v>
      </c>
      <c r="J201" s="325"/>
      <c r="K201" s="325"/>
      <c r="L201" s="325"/>
      <c r="M201" s="325"/>
    </row>
    <row r="202" spans="1:13" s="328" customFormat="1" ht="16.5">
      <c r="A202" s="325"/>
      <c r="B202" s="325"/>
      <c r="C202" s="325"/>
      <c r="D202" s="325"/>
      <c r="E202" s="325"/>
      <c r="F202" s="384" t="s">
        <v>278</v>
      </c>
      <c r="G202" s="384"/>
      <c r="H202" s="328">
        <f>VLOOKUP(H201,L186:M199,2,0)</f>
        <v>600</v>
      </c>
      <c r="I202" s="325" t="s">
        <v>328</v>
      </c>
      <c r="J202" s="325"/>
      <c r="K202" s="325"/>
      <c r="L202" s="325"/>
      <c r="M202" s="325"/>
    </row>
    <row r="203" spans="1:13" s="328" customFormat="1" ht="16.5">
      <c r="A203" s="324"/>
      <c r="C203" s="384"/>
      <c r="D203" s="384"/>
      <c r="E203" s="384"/>
      <c r="F203" s="384" t="s">
        <v>327</v>
      </c>
      <c r="G203" s="384"/>
      <c r="H203" s="385">
        <f>(G13*(I30/1000)^1.81)/(994.62*(H202/1000)^4.81)</f>
        <v>0.01028784101868764</v>
      </c>
      <c r="I203" s="325" t="s">
        <v>289</v>
      </c>
      <c r="J203" s="325"/>
      <c r="K203" s="325"/>
      <c r="L203" s="325"/>
      <c r="M203" s="325"/>
    </row>
    <row r="204" spans="1:13" s="328" customFormat="1" ht="16.5">
      <c r="A204" s="324" t="s">
        <v>88</v>
      </c>
      <c r="B204" s="325"/>
      <c r="C204" s="324"/>
      <c r="D204" s="324"/>
      <c r="E204" s="324"/>
      <c r="F204" s="325" t="s">
        <v>430</v>
      </c>
      <c r="G204" s="324"/>
      <c r="H204" s="325">
        <f>'INPUT DATA'!L35</f>
        <v>50</v>
      </c>
      <c r="I204" s="325" t="s">
        <v>289</v>
      </c>
      <c r="J204" s="325"/>
      <c r="K204" s="325"/>
      <c r="L204" s="325"/>
      <c r="M204" s="325"/>
    </row>
    <row r="205" spans="1:13" s="328" customFormat="1" ht="16.5">
      <c r="A205" s="325"/>
      <c r="B205" s="324"/>
      <c r="C205" s="335"/>
      <c r="D205" s="335"/>
      <c r="E205" s="334"/>
      <c r="F205" s="325" t="s">
        <v>431</v>
      </c>
      <c r="G205" s="325"/>
      <c r="H205" s="325" t="s">
        <v>432</v>
      </c>
      <c r="I205" s="325"/>
      <c r="J205" s="325"/>
      <c r="K205" s="325"/>
      <c r="L205" s="325"/>
      <c r="M205" s="325"/>
    </row>
  </sheetData>
  <sheetProtection password="CA9C" sheet="1" objects="1" scenarios="1" selectLockedCells="1"/>
  <mergeCells count="6">
    <mergeCell ref="A173:L173"/>
    <mergeCell ref="B23:E23"/>
    <mergeCell ref="B24:E24"/>
    <mergeCell ref="B26:E26"/>
    <mergeCell ref="B141:H141"/>
    <mergeCell ref="E152:E15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nss</dc:creator>
  <cp:keywords/>
  <dc:description/>
  <cp:lastModifiedBy>aachyutha</cp:lastModifiedBy>
  <dcterms:created xsi:type="dcterms:W3CDTF">2010-02-10T05:19:16Z</dcterms:created>
  <dcterms:modified xsi:type="dcterms:W3CDTF">2010-05-18T06:04:26Z</dcterms:modified>
  <cp:category/>
  <cp:version/>
  <cp:contentType/>
  <cp:contentStatus/>
</cp:coreProperties>
</file>